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D:\VAY TRA NO\Vay ODA\2024\bao cao no theo TT 80\nam 2024\"/>
    </mc:Choice>
  </mc:AlternateContent>
  <xr:revisionPtr revIDLastSave="0" documentId="13_ncr:1_{CD7FECAD-F4CA-4703-A560-BFE476F34E19}" xr6:coauthVersionLast="45" xr6:coauthVersionMax="47" xr10:uidLastSave="{00000000-0000-0000-0000-000000000000}"/>
  <bookViews>
    <workbookView xWindow="-108" yWindow="-108" windowWidth="23256" windowHeight="12456" xr2:uid="{00000000-000D-0000-FFFF-FFFF00000000}"/>
  </bookViews>
  <sheets>
    <sheet name="PL1a" sheetId="4" r:id="rId1"/>
    <sheet name="PLII" sheetId="3" r:id="rId2"/>
    <sheet name="1.01" sheetId="1" r:id="rId3"/>
    <sheet name="1.02" sheetId="2" r:id="rId4"/>
  </sheets>
  <definedNames>
    <definedName name="_xlnm.Print_Area" localSheetId="2">'1.01'!$A$1:$AO$23</definedName>
    <definedName name="_xlnm.Print_Area" localSheetId="3">'1.02'!$A$1:$H$22</definedName>
    <definedName name="_xlnm.Print_Area" localSheetId="0">PL1a!$A$1:$L$29</definedName>
    <definedName name="_xlnm.Print_Area" localSheetId="1">PLII!$A$1:$G$24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20" i="4" l="1"/>
  <c r="N21" i="4"/>
  <c r="N22" i="4"/>
  <c r="N18" i="4"/>
  <c r="M20" i="4"/>
  <c r="M21" i="4"/>
  <c r="M22" i="4"/>
  <c r="M18" i="4"/>
  <c r="C22" i="4" l="1"/>
  <c r="C21" i="4"/>
  <c r="D19" i="4"/>
  <c r="Y13" i="1" l="1"/>
  <c r="G18" i="4" s="1"/>
  <c r="Y17" i="1"/>
  <c r="G18" i="1"/>
  <c r="X17" i="1"/>
  <c r="X18" i="1"/>
  <c r="H18" i="1" s="1"/>
  <c r="W16" i="1"/>
  <c r="N14" i="1"/>
  <c r="Z12" i="1"/>
  <c r="H19" i="4" s="1"/>
  <c r="X16" i="1" l="1"/>
  <c r="C23" i="3"/>
  <c r="D24" i="4"/>
  <c r="AB18" i="1" l="1"/>
  <c r="AA18" i="1"/>
  <c r="AA17" i="1"/>
  <c r="AB17" i="1"/>
  <c r="AF15" i="1"/>
  <c r="AE15" i="1"/>
  <c r="AA15" i="1"/>
  <c r="I22" i="4" s="1"/>
  <c r="AB15" i="1"/>
  <c r="J22" i="4" s="1"/>
  <c r="Z15" i="1"/>
  <c r="H22" i="4" s="1"/>
  <c r="Y15" i="1"/>
  <c r="G22" i="4" s="1"/>
  <c r="AF14" i="1"/>
  <c r="AE14" i="1"/>
  <c r="AD14" i="1"/>
  <c r="AC14" i="1"/>
  <c r="AA14" i="1"/>
  <c r="AB14" i="1"/>
  <c r="J21" i="4" s="1"/>
  <c r="Z14" i="1"/>
  <c r="H21" i="4" s="1"/>
  <c r="Y14" i="1"/>
  <c r="G21" i="4" s="1"/>
  <c r="AA13" i="1"/>
  <c r="I18" i="4" s="1"/>
  <c r="AB13" i="1"/>
  <c r="J18" i="4" s="1"/>
  <c r="Z13" i="1"/>
  <c r="H18" i="4" s="1"/>
  <c r="I21" i="4" l="1"/>
  <c r="U17" i="1"/>
  <c r="G17" i="1" s="1"/>
  <c r="V17" i="1" l="1"/>
  <c r="U16" i="1"/>
  <c r="V16" i="1" l="1"/>
  <c r="L24" i="4" l="1"/>
  <c r="L23" i="4" s="1"/>
  <c r="H23" i="4"/>
  <c r="D23" i="4"/>
  <c r="K22" i="4"/>
  <c r="L19" i="4"/>
  <c r="K19" i="4"/>
  <c r="D16" i="3"/>
  <c r="D11" i="3" s="1"/>
  <c r="E16" i="3"/>
  <c r="F16" i="3"/>
  <c r="F11" i="3" s="1"/>
  <c r="G18" i="3"/>
  <c r="G19" i="3"/>
  <c r="G20" i="3"/>
  <c r="G21" i="3"/>
  <c r="C22" i="3"/>
  <c r="E22" i="3"/>
  <c r="G23" i="3"/>
  <c r="G22" i="3" s="1"/>
  <c r="E11" i="3" l="1"/>
  <c r="G17" i="3"/>
  <c r="G16" i="3" s="1"/>
  <c r="C16" i="3" l="1"/>
  <c r="C11" i="3" s="1"/>
  <c r="G11" i="3" s="1"/>
  <c r="I14" i="1"/>
  <c r="G14" i="1" s="1"/>
  <c r="E21" i="4" s="1"/>
  <c r="K21" i="4" s="1"/>
  <c r="T17" i="1" l="1"/>
  <c r="R17" i="1"/>
  <c r="P17" i="1"/>
  <c r="L17" i="1"/>
  <c r="J17" i="1"/>
  <c r="J14" i="1"/>
  <c r="H14" i="1" s="1"/>
  <c r="F21" i="4" s="1"/>
  <c r="H17" i="1" l="1"/>
  <c r="AC18" i="1"/>
  <c r="Z17" i="1" l="1"/>
  <c r="AD18" i="1"/>
  <c r="H13" i="1" l="1"/>
  <c r="G13" i="1"/>
  <c r="H15" i="1"/>
  <c r="G15" i="1"/>
  <c r="S16" i="1" l="1"/>
  <c r="Q16" i="1"/>
  <c r="O16" i="1"/>
  <c r="K16" i="1"/>
  <c r="I16" i="1"/>
  <c r="T16" i="1"/>
  <c r="R16" i="1"/>
  <c r="P16" i="1"/>
  <c r="L16" i="1"/>
  <c r="J16" i="1"/>
  <c r="F14" i="1" l="1"/>
  <c r="D21" i="4" s="1"/>
  <c r="L21" i="4" s="1"/>
  <c r="F15" i="1"/>
  <c r="D22" i="4" s="1"/>
  <c r="L22" i="4" s="1"/>
  <c r="F17" i="1"/>
  <c r="F18" i="1"/>
  <c r="E16" i="1"/>
  <c r="C20" i="4" s="1"/>
  <c r="E13" i="1"/>
  <c r="F13" i="1" l="1"/>
  <c r="D18" i="4" s="1"/>
  <c r="L18" i="4" s="1"/>
  <c r="C18" i="4"/>
  <c r="K18" i="4" s="1"/>
  <c r="C17" i="4"/>
  <c r="C12" i="4" s="1"/>
  <c r="F16" i="1"/>
  <c r="D20" i="4" s="1"/>
  <c r="D17" i="4" l="1"/>
  <c r="D12" i="4" s="1"/>
  <c r="AF16" i="1"/>
  <c r="AD16" i="1"/>
  <c r="AB16" i="1"/>
  <c r="AA16" i="1"/>
  <c r="Y16" i="1"/>
  <c r="G20" i="4" s="1"/>
  <c r="G17" i="4" s="1"/>
  <c r="G12" i="4" s="1"/>
  <c r="AI18" i="1"/>
  <c r="AI17" i="1"/>
  <c r="AI15" i="1"/>
  <c r="AI14" i="1"/>
  <c r="AH18" i="1"/>
  <c r="J20" i="4" l="1"/>
  <c r="J17" i="4" s="1"/>
  <c r="J12" i="4" s="1"/>
  <c r="AI16" i="1"/>
  <c r="AH14" i="1"/>
  <c r="AG14" i="1"/>
  <c r="AJ13" i="1" l="1"/>
  <c r="AI13" i="1"/>
  <c r="AG18" i="1"/>
  <c r="AE16" i="1"/>
  <c r="AG15" i="1"/>
  <c r="AG17" i="1" l="1"/>
  <c r="AG16" i="1" s="1"/>
  <c r="AC16" i="1"/>
  <c r="I20" i="4" s="1"/>
  <c r="I17" i="4" s="1"/>
  <c r="I12" i="4" s="1"/>
  <c r="AG13" i="1"/>
  <c r="AJ15" i="1" l="1"/>
  <c r="AJ14" i="1"/>
  <c r="AH15" i="1"/>
  <c r="AJ18" i="1" l="1"/>
  <c r="H16" i="1"/>
  <c r="F20" i="4" s="1"/>
  <c r="AJ17" i="1"/>
  <c r="AJ16" i="1" s="1"/>
  <c r="AJ12" i="1"/>
  <c r="F17" i="4" l="1"/>
  <c r="F12" i="4" s="1"/>
  <c r="G16" i="1"/>
  <c r="E20" i="4" s="1"/>
  <c r="E17" i="4" l="1"/>
  <c r="E12" i="4" s="1"/>
  <c r="K20" i="4"/>
  <c r="K17" i="4" s="1"/>
  <c r="K12" i="4" s="1"/>
  <c r="H20" i="1"/>
  <c r="G19" i="1"/>
  <c r="AD20" i="1" l="1"/>
  <c r="AC19" i="1"/>
  <c r="F15" i="2"/>
  <c r="E15" i="2"/>
  <c r="D15" i="2"/>
  <c r="C15" i="2"/>
  <c r="C14" i="2"/>
  <c r="D13" i="2"/>
  <c r="F11" i="2"/>
  <c r="F10" i="2" s="1"/>
  <c r="E11" i="2"/>
  <c r="E10" i="2" s="1"/>
  <c r="D11" i="2"/>
  <c r="D10" i="2" s="1"/>
  <c r="C11" i="2"/>
  <c r="C10" i="2" s="1"/>
  <c r="D14" i="2" l="1"/>
  <c r="E14" i="2"/>
  <c r="AH13" i="1"/>
  <c r="Z16" i="1"/>
  <c r="Y19" i="1" l="1"/>
  <c r="H20" i="4"/>
  <c r="AF20" i="1"/>
  <c r="AE19" i="1"/>
  <c r="AB20" i="1"/>
  <c r="AA19" i="1"/>
  <c r="Z20" i="1"/>
  <c r="AI19" i="1"/>
  <c r="C16" i="2"/>
  <c r="C12" i="2" s="1"/>
  <c r="E19" i="1"/>
  <c r="F14" i="2"/>
  <c r="AH17" i="1"/>
  <c r="AH16" i="1" s="1"/>
  <c r="H17" i="4" l="1"/>
  <c r="H12" i="4" s="1"/>
  <c r="L20" i="4"/>
  <c r="L17" i="4" s="1"/>
  <c r="L12" i="4" s="1"/>
  <c r="AG19" i="1"/>
  <c r="D16" i="2"/>
  <c r="F20" i="1"/>
  <c r="AJ20" i="1"/>
  <c r="E16" i="2" l="1"/>
  <c r="E12" i="2" s="1"/>
  <c r="D12" i="2"/>
  <c r="D17" i="2" s="1"/>
  <c r="F16" i="2"/>
  <c r="F13" i="2"/>
  <c r="AH12" i="1"/>
  <c r="AH20" i="1" s="1"/>
  <c r="F12" i="2" l="1"/>
  <c r="F17" i="2" s="1"/>
</calcChain>
</file>

<file path=xl/sharedStrings.xml><?xml version="1.0" encoding="utf-8"?>
<sst xmlns="http://schemas.openxmlformats.org/spreadsheetml/2006/main" count="182" uniqueCount="96">
  <si>
    <t>BÁO CÁO TÌNH HÌNH VAY LẠI VỐN VAY ODA, VAY ƯU ĐÃI NƯỚC NGOÀI CỦA CHÍNH PHỦ</t>
  </si>
  <si>
    <t>STT</t>
  </si>
  <si>
    <t>Tên dự án/Chương trình</t>
  </si>
  <si>
    <t>Nguồn vốn cho vay lại</t>
  </si>
  <si>
    <t>Nguyên tệ</t>
  </si>
  <si>
    <t>Dư nợ đầu kỳ</t>
  </si>
  <si>
    <t>Dư nợ đầu kỳ quy VNĐ</t>
  </si>
  <si>
    <t>Rút vốn trong kỳ</t>
  </si>
  <si>
    <t>Gốc</t>
  </si>
  <si>
    <t>Lãi</t>
  </si>
  <si>
    <t>Phí theo HĐ vay</t>
  </si>
  <si>
    <t>Phí QLCVL</t>
  </si>
  <si>
    <t>Cộng</t>
  </si>
  <si>
    <t>Dư nợ cuối kỳ</t>
  </si>
  <si>
    <t>Dư nợ cuối kỳ quy VNĐ</t>
  </si>
  <si>
    <t>Nợ quá hạn</t>
  </si>
  <si>
    <t>Tên chủ nợ</t>
  </si>
  <si>
    <t>Dư nợ quá hạn cuối kỳ quy VNĐ</t>
  </si>
  <si>
    <t>I</t>
  </si>
  <si>
    <t>II</t>
  </si>
  <si>
    <t>Tổng dư nợ (quy VNĐ)</t>
  </si>
  <si>
    <t>USD</t>
  </si>
  <si>
    <t>TỔNG CỘNG USD</t>
  </si>
  <si>
    <t>Ngân hàng Thế giới</t>
  </si>
  <si>
    <t>Dự án Sửa chữa và nâng cao an toàn đập</t>
  </si>
  <si>
    <t>Dự án Vệ sinh môi trường các thành phố duyên hải</t>
  </si>
  <si>
    <t>Trả nợ trong kỳ (VNĐ)</t>
  </si>
  <si>
    <t>Dự án Môi trường bền vững các thành phố duyên hải - Tiểu dự án TP Nha Trang</t>
  </si>
  <si>
    <t>Dự án Tăng cường quản lý đất đai và cơ sở dữ liệu đất đai</t>
  </si>
  <si>
    <t>Dự án Nâng cao hiệu quả sử dụng nước ở các tỉnh bị ảnh hưởng bởi hạn hán</t>
  </si>
  <si>
    <t>Ngân hàng Phát triển Châu Á</t>
  </si>
  <si>
    <t>TỔNG QUY VNĐ</t>
  </si>
  <si>
    <t>Ghi chú:</t>
  </si>
  <si>
    <t>VNĐ</t>
  </si>
  <si>
    <t>Nguồn IDA</t>
  </si>
  <si>
    <t>Nguồn IBRD</t>
  </si>
  <si>
    <t>BÁO CÁO TÌNH HÌNH NỢ CỦA TỈNH KHÁNH HÒA THEO CHỦ NỢ</t>
  </si>
  <si>
    <t>Dư nợ đầu kỳ USD</t>
  </si>
  <si>
    <t>Dư nợ cuối kỳ USD</t>
  </si>
  <si>
    <t>Trong đó, Dư nợ quá hạn cuối kỳ USD</t>
  </si>
  <si>
    <t>Lấy theo đối chiếu với bộ</t>
  </si>
  <si>
    <t>Hỏi đơn vị số rút vốn</t>
  </si>
  <si>
    <t>VND</t>
  </si>
  <si>
    <t>ỦY BAN NHÂN DÂN</t>
  </si>
  <si>
    <t>TỈNH KHÁNH HÒA</t>
  </si>
  <si>
    <t>đồng</t>
  </si>
  <si>
    <t>Ngày 10/01/2024</t>
  </si>
  <si>
    <t>Ngày 12/01/2024</t>
  </si>
  <si>
    <t>Ngày 02/02/2024</t>
  </si>
  <si>
    <t>Ngày 06/3/2024</t>
  </si>
  <si>
    <t>Ngày 27/6/2024</t>
  </si>
  <si>
    <t xml:space="preserve"> - Số trả nợ áp dụng tỷ giá do Ngân hàng TMCP Ngoại thương VN công bố tại thời điểm trả nợ</t>
  </si>
  <si>
    <t>Kỳ báo cáo: từ ngày 01/01/2024 đến ngày 30/6/2024</t>
  </si>
  <si>
    <t>(Kèm theo Công văn số           /UBND-KT ngày     /7/2024 của UBND tỉnh Khánh Hòa)</t>
  </si>
  <si>
    <t>Mẫu biểu số 1.01-TT80/2018/TT-BTC</t>
  </si>
  <si>
    <t>Mẫu biểu số 1.02-TT80/2018/TT-BTC</t>
  </si>
  <si>
    <t xml:space="preserve"> - Vốn huy động từ nguồn ứng trước tiền thuê đất Bắc bán đảo Cam Ranh</t>
  </si>
  <si>
    <t>Vay khác</t>
  </si>
  <si>
    <t>- Dự án Nâng cao hiệu quả sử dụng nước cho các tỉnh bị ảnh hưởng bởi hạn hán (WEIDAP/ADB8)</t>
  </si>
  <si>
    <t xml:space="preserve"> - Dự án Tăng cường quản lý đất đai và cơ sở dữ liệu đất đai (VILG)</t>
  </si>
  <si>
    <t xml:space="preserve"> - Dự án Môi trường bền vững các thành phố duyên hải - Tiểu dự án TP Nha Trang</t>
  </si>
  <si>
    <t xml:space="preserve"> - Dự án Vệ sinh môi trường thành phố Nha Trang</t>
  </si>
  <si>
    <t xml:space="preserve"> - Dự án Sửa chữa và nâng cao an toàn đập</t>
  </si>
  <si>
    <t>Vay lại vốn vay nước ngoài của Chính phủ</t>
  </si>
  <si>
    <t>Vay ngân hàng thương mại</t>
  </si>
  <si>
    <t>Phát hành trái phiếu chính quyền địa phương</t>
  </si>
  <si>
    <t>Tạm ứng ngân quỹ nhà nước</t>
  </si>
  <si>
    <t>Vay Ngân hàng Phát triển Việt Nam</t>
  </si>
  <si>
    <t>TỔNG CỘNG</t>
  </si>
  <si>
    <t>Lãi, phí</t>
  </si>
  <si>
    <t xml:space="preserve">Gốc </t>
  </si>
  <si>
    <t>Trả nợ</t>
  </si>
  <si>
    <t>Vay trong kỳ</t>
  </si>
  <si>
    <t>Dư nợ ngày 01/01/2024</t>
  </si>
  <si>
    <t>Chỉ tiêu</t>
  </si>
  <si>
    <t>Đvt: Triệu đồng</t>
  </si>
  <si>
    <t>SỐ VAY VÀ TRẢ NỢ CHÍNH QUYỀN ĐỊA PHƯƠNG ĐÃ HẠCH TOÁN VÀO NSNN</t>
  </si>
  <si>
    <t>Phụ lục II-NĐ số 93/2018/NĐ-CP</t>
  </si>
  <si>
    <t>Phụ lục số 01a</t>
  </si>
  <si>
    <t>BÁO CÁO TÌNH HÌNH NHẬN NỢ VÀ TRẢ NỢ CHÍNH QUYỀN ĐỊA PHƯƠNG NĂM 2024</t>
  </si>
  <si>
    <t>Năm 2024</t>
  </si>
  <si>
    <t>Nhận nợ trong kỳ</t>
  </si>
  <si>
    <t>nghìn USD</t>
  </si>
  <si>
    <t>triệu VND</t>
  </si>
  <si>
    <t>Dư nợ tính đến ngày 31/12/2024</t>
  </si>
  <si>
    <t>Ngày 13/9/2024</t>
  </si>
  <si>
    <t>Các đợt rút vốn</t>
  </si>
  <si>
    <t>(Kèm theo Công văn số               /UBND-KT ngày        tháng    năm 2025 của UBND tỉnh Khánh Hòa)</t>
  </si>
  <si>
    <t>Kỳ báo cáo từ ngày 01/01/2024 đến ngày 31/12/2024</t>
  </si>
  <si>
    <t>(Kèm theo công văn số           /UBND-KT ngày     /      /2025 của UBND tỉnh Khánh Hòa)</t>
  </si>
  <si>
    <t>Ngày 17/01/2024</t>
  </si>
  <si>
    <t>Ngày 24/12/2024</t>
  </si>
  <si>
    <t xml:space="preserve"> - Số dư nợ đầu kỳ, số rút vốn áp dụng tỷ giá hạch toán NSNN do Bộ Tài chính công bố tại Thông báo số 7727/TB-KBNN ngày 31/12/2024, theo đó tỷ giá hạch toán ngoại tệ tháng 01/2025 là 1 USD = 24.283 USD</t>
  </si>
  <si>
    <t xml:space="preserve"> - Số dư nợ đầu kỳ, số rút vốn áp dụng tỷ giá hạch toán NSNN do Bộ Tài chính công bố tại Thông báo số 7727/TB-KBNN ngày 31/12/2024, tỷ giá hạch toán ngoại tệ tháng 01/2025 là 1 USD = </t>
  </si>
  <si>
    <t xml:space="preserve"> - Đối với số trả nợ gốc dự án Dự án Sửa chữa và nâng cao an toàn đập: địa phương đã trả 254.796 USD (tương đương 6.520 triệu đồng), tuy nhiên Bộ Tài chính xác định nợ gốc phải trả của năm 2024 là 185.439 USD, chênh lệch 69.357 USD tính vào số địa phương trả nợ thừa</t>
  </si>
  <si>
    <t xml:space="preserve"> - Đối với số trả nợ gốc dự án Dự án Sửa chữa và nâng cao an toàn đập: địa phương đã trả 255 nghìn USD (tương đương 6.520 triệu đồng), tuy nhiên Bộ Tài chính xác định nợ gốc phải trả của năm 2024 là 186 nghìn USD, chênh lệch 69 nghìn USD tính vào số địa phương trả nợ thừa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</si>
</sst>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0_-;\-* #,##0.00_-;_-* &quot;-&quot;??_-;_-@_-"/>
    <numFmt numFmtId="165" formatCode="_-* #,##0.0_-;\-* #,##0.0_-;_-* &quot;-&quot;??_-;_-@_-"/>
    <numFmt numFmtId="166" formatCode="_-* #,##0_-;\-* #,##0_-;_-* &quot;-&quot;??_-;_-@_-"/>
    <numFmt numFmtId="167" formatCode="#,##0.0"/>
    <numFmt numFmtId="168" formatCode="_(* #,##0.0_);_(* \(#,##0.0\);_(* &quot;-&quot;?_);_(@_)"/>
    <numFmt numFmtId="169" formatCode="#,##0.000"/>
  </numFmts>
  <fonts count="21" x14ac:knownFonts="1">
    <font>
      <sz val="11"/>
      <color theme="1"/>
      <name val="Calibri"/>
      <family val="2"/>
      <charset val="163"/>
      <scheme val="minor"/>
    </font>
    <font>
      <sz val="11"/>
      <color theme="1"/>
      <name val="Calibri"/>
      <family val="2"/>
      <scheme val="minor"/>
    </font>
    <font>
      <sz val="11"/>
      <color theme="1"/>
      <name val="Times New Roman"/>
      <family val="1"/>
    </font>
    <font>
      <b/>
      <sz val="11"/>
      <color theme="1"/>
      <name val="Times New Roman"/>
      <family val="1"/>
    </font>
    <font>
      <sz val="14"/>
      <color theme="1"/>
      <name val="Times New Roman"/>
      <family val="1"/>
    </font>
    <font>
      <i/>
      <sz val="11"/>
      <color theme="1"/>
      <name val="Times New Roman"/>
      <family val="1"/>
    </font>
    <font>
      <b/>
      <sz val="14"/>
      <color theme="1"/>
      <name val="Times New Roman"/>
      <family val="1"/>
    </font>
    <font>
      <i/>
      <sz val="12"/>
      <color theme="1"/>
      <name val="Times New Roman"/>
      <family val="1"/>
    </font>
    <font>
      <b/>
      <sz val="12"/>
      <color theme="1"/>
      <name val="Times New Roman"/>
      <family val="1"/>
    </font>
    <font>
      <sz val="14"/>
      <color rgb="FFFF0000"/>
      <name val="Times New Roman"/>
      <family val="1"/>
    </font>
    <font>
      <sz val="14"/>
      <color theme="0"/>
      <name val="Times New Roman"/>
      <family val="1"/>
    </font>
    <font>
      <sz val="11"/>
      <color theme="1"/>
      <name val="Calibri"/>
      <family val="2"/>
      <charset val="163"/>
      <scheme val="minor"/>
    </font>
    <font>
      <sz val="14"/>
      <name val="Times New Roman"/>
      <family val="1"/>
    </font>
    <font>
      <sz val="11"/>
      <color theme="1"/>
      <name val="Times New Roman"/>
      <family val="2"/>
    </font>
    <font>
      <i/>
      <sz val="14"/>
      <name val="Times New Roman"/>
      <family val="1"/>
    </font>
    <font>
      <i/>
      <sz val="14"/>
      <color theme="1"/>
      <name val="Times New Roman"/>
      <family val="1"/>
    </font>
    <font>
      <i/>
      <sz val="14"/>
      <color theme="1" tint="4.9989318521683403E-2"/>
      <name val="Times New Roman"/>
      <family val="1"/>
    </font>
    <font>
      <b/>
      <sz val="14"/>
      <name val="Times New Roman"/>
      <family val="1"/>
    </font>
    <font>
      <i/>
      <sz val="13"/>
      <name val="Times New Roman"/>
      <family val="1"/>
    </font>
    <font>
      <b/>
      <u/>
      <sz val="12"/>
      <name val="Times New Roman"/>
      <family val="1"/>
    </font>
    <font>
      <b/>
      <sz val="12"/>
      <name val="Times New Roman"/>
      <family val="1"/>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hair">
        <color auto="1"/>
      </top>
      <bottom/>
      <diagonal/>
    </border>
    <border>
      <left/>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style="thin">
        <color auto="1"/>
      </right>
      <top/>
      <bottom/>
      <diagonal/>
    </border>
  </borders>
  <cellStyleXfs count="5">
    <xf numFmtId="0" fontId="0" fillId="0" borderId="0"/>
    <xf numFmtId="164" fontId="11" fillId="0" borderId="0" applyFont="0" applyFill="0" applyBorder="0" applyAlignment="0" applyProtection="0"/>
    <xf numFmtId="0" fontId="13" fillId="0" borderId="0"/>
    <xf numFmtId="43" fontId="13" fillId="0" borderId="0" applyFont="0" applyFill="0" applyBorder="0" applyAlignment="0" applyProtection="0"/>
    <xf numFmtId="0" fontId="1" fillId="0" borderId="0"/>
  </cellStyleXfs>
  <cellXfs count="185">
    <xf numFmtId="0" fontId="0" fillId="0" borderId="0" xfId="0"/>
    <xf numFmtId="0" fontId="2" fillId="0" borderId="0" xfId="0" applyFont="1"/>
    <xf numFmtId="0" fontId="3" fillId="0" borderId="0" xfId="0" applyFont="1"/>
    <xf numFmtId="0" fontId="4" fillId="0" borderId="0" xfId="0" applyFont="1"/>
    <xf numFmtId="0" fontId="6" fillId="0" borderId="1" xfId="0" applyFont="1" applyBorder="1" applyAlignment="1">
      <alignment horizontal="center" vertical="center" wrapText="1"/>
    </xf>
    <xf numFmtId="3" fontId="4" fillId="0" borderId="3" xfId="0" applyNumberFormat="1" applyFont="1" applyBorder="1" applyAlignment="1">
      <alignment vertical="center"/>
    </xf>
    <xf numFmtId="0" fontId="4" fillId="0" borderId="3" xfId="0" applyFont="1" applyBorder="1" applyAlignment="1">
      <alignment horizontal="center" vertical="center"/>
    </xf>
    <xf numFmtId="0" fontId="4" fillId="0" borderId="5" xfId="0" applyFont="1" applyBorder="1" applyAlignment="1">
      <alignment vertical="center" wrapText="1"/>
    </xf>
    <xf numFmtId="0" fontId="6" fillId="0" borderId="1" xfId="0" applyFont="1" applyBorder="1" applyAlignment="1">
      <alignment horizontal="center" vertical="center"/>
    </xf>
    <xf numFmtId="0" fontId="6" fillId="0" borderId="5" xfId="0" applyFont="1" applyBorder="1" applyAlignment="1">
      <alignment horizontal="center" vertical="center"/>
    </xf>
    <xf numFmtId="0" fontId="6" fillId="0" borderId="5" xfId="0" applyFont="1" applyBorder="1" applyAlignment="1">
      <alignment vertical="center"/>
    </xf>
    <xf numFmtId="2" fontId="4" fillId="0" borderId="3" xfId="0" applyNumberFormat="1" applyFont="1" applyBorder="1" applyAlignment="1">
      <alignment vertical="center" wrapText="1"/>
    </xf>
    <xf numFmtId="0" fontId="4" fillId="0" borderId="3" xfId="0" applyFont="1" applyBorder="1" applyAlignment="1">
      <alignment vertical="center"/>
    </xf>
    <xf numFmtId="0" fontId="6" fillId="0" borderId="3" xfId="0" applyFont="1" applyBorder="1" applyAlignment="1">
      <alignment horizontal="center" vertical="center"/>
    </xf>
    <xf numFmtId="2" fontId="6" fillId="0" borderId="3" xfId="0" applyNumberFormat="1" applyFont="1" applyBorder="1" applyAlignment="1">
      <alignment vertical="center" wrapText="1"/>
    </xf>
    <xf numFmtId="0" fontId="6" fillId="0" borderId="4" xfId="0" applyFont="1" applyBorder="1" applyAlignment="1">
      <alignment vertical="center"/>
    </xf>
    <xf numFmtId="2" fontId="6" fillId="0" borderId="4" xfId="0" applyNumberFormat="1" applyFont="1" applyBorder="1" applyAlignment="1">
      <alignment vertical="center" wrapText="1"/>
    </xf>
    <xf numFmtId="4" fontId="4" fillId="0" borderId="3" xfId="0" applyNumberFormat="1" applyFont="1" applyBorder="1" applyAlignment="1">
      <alignment vertical="center"/>
    </xf>
    <xf numFmtId="4" fontId="6" fillId="0" borderId="3" xfId="0" applyNumberFormat="1" applyFont="1" applyBorder="1" applyAlignment="1">
      <alignment vertical="center"/>
    </xf>
    <xf numFmtId="3" fontId="6" fillId="0" borderId="5" xfId="0" applyNumberFormat="1" applyFont="1" applyBorder="1" applyAlignment="1">
      <alignment vertical="center"/>
    </xf>
    <xf numFmtId="0" fontId="2" fillId="2" borderId="0" xfId="0" applyFont="1" applyFill="1"/>
    <xf numFmtId="0" fontId="3" fillId="2" borderId="0" xfId="0" applyFont="1" applyFill="1"/>
    <xf numFmtId="0" fontId="2" fillId="2" borderId="9" xfId="0" applyFont="1" applyFill="1" applyBorder="1" applyAlignment="1">
      <alignment horizontal="center"/>
    </xf>
    <xf numFmtId="0" fontId="4" fillId="2" borderId="0" xfId="0" applyFont="1" applyFill="1"/>
    <xf numFmtId="0" fontId="4" fillId="2" borderId="2" xfId="0" applyFont="1" applyFill="1" applyBorder="1" applyAlignment="1">
      <alignment horizontal="center" vertical="center"/>
    </xf>
    <xf numFmtId="0" fontId="4" fillId="2" borderId="2" xfId="0" applyFont="1" applyFill="1" applyBorder="1" applyAlignment="1">
      <alignment vertical="center" wrapText="1"/>
    </xf>
    <xf numFmtId="3" fontId="4" fillId="2" borderId="2" xfId="0" applyNumberFormat="1" applyFont="1" applyFill="1" applyBorder="1" applyAlignment="1">
      <alignment horizontal="right" vertical="center"/>
    </xf>
    <xf numFmtId="0" fontId="2" fillId="2" borderId="0" xfId="0" applyFont="1" applyFill="1" applyAlignment="1">
      <alignment vertical="center"/>
    </xf>
    <xf numFmtId="0" fontId="4" fillId="2" borderId="3" xfId="0" applyFont="1" applyFill="1" applyBorder="1" applyAlignment="1">
      <alignment horizontal="center" vertical="center"/>
    </xf>
    <xf numFmtId="4" fontId="4" fillId="2" borderId="3" xfId="0" applyNumberFormat="1" applyFont="1" applyFill="1" applyBorder="1" applyAlignment="1">
      <alignment horizontal="right" vertical="center"/>
    </xf>
    <xf numFmtId="3" fontId="4" fillId="2" borderId="3" xfId="0" applyNumberFormat="1" applyFont="1" applyFill="1" applyBorder="1" applyAlignment="1">
      <alignment horizontal="right" vertical="center"/>
    </xf>
    <xf numFmtId="0" fontId="4" fillId="2" borderId="3" xfId="0" applyFont="1" applyFill="1" applyBorder="1" applyAlignment="1">
      <alignment horizontal="center" vertical="center" wrapText="1"/>
    </xf>
    <xf numFmtId="3" fontId="6" fillId="2" borderId="3" xfId="0" applyNumberFormat="1" applyFont="1" applyFill="1" applyBorder="1" applyAlignment="1">
      <alignment horizontal="right" vertical="center"/>
    </xf>
    <xf numFmtId="3" fontId="6" fillId="2" borderId="4" xfId="0" applyNumberFormat="1" applyFont="1" applyFill="1" applyBorder="1" applyAlignment="1">
      <alignment horizontal="right" vertical="center"/>
    </xf>
    <xf numFmtId="3" fontId="2" fillId="2" borderId="0" xfId="0" applyNumberFormat="1" applyFont="1" applyFill="1"/>
    <xf numFmtId="0" fontId="6" fillId="2" borderId="1" xfId="0" applyFont="1" applyFill="1" applyBorder="1" applyAlignment="1">
      <alignment horizontal="center" vertical="center" wrapText="1"/>
    </xf>
    <xf numFmtId="0" fontId="10" fillId="2" borderId="0" xfId="0" applyFont="1" applyFill="1"/>
    <xf numFmtId="0" fontId="6" fillId="0" borderId="10" xfId="0" applyFont="1" applyBorder="1" applyAlignment="1">
      <alignment vertical="center"/>
    </xf>
    <xf numFmtId="2" fontId="6" fillId="0" borderId="10" xfId="0" applyNumberFormat="1" applyFont="1" applyBorder="1" applyAlignment="1">
      <alignment vertical="center" wrapText="1"/>
    </xf>
    <xf numFmtId="3" fontId="6" fillId="0" borderId="4" xfId="0" applyNumberFormat="1" applyFont="1" applyBorder="1" applyAlignment="1">
      <alignment vertical="center"/>
    </xf>
    <xf numFmtId="0" fontId="4" fillId="0" borderId="3" xfId="0" applyFont="1" applyBorder="1" applyAlignment="1">
      <alignment vertical="center" wrapText="1"/>
    </xf>
    <xf numFmtId="0" fontId="4" fillId="2" borderId="3" xfId="0" applyFont="1" applyFill="1" applyBorder="1" applyAlignment="1">
      <alignment vertical="center" wrapText="1"/>
    </xf>
    <xf numFmtId="0" fontId="6" fillId="2" borderId="3" xfId="0" applyFont="1" applyFill="1" applyBorder="1" applyAlignment="1">
      <alignment vertical="center"/>
    </xf>
    <xf numFmtId="0" fontId="6" fillId="2" borderId="4" xfId="0" applyFont="1" applyFill="1" applyBorder="1" applyAlignment="1">
      <alignment vertical="center"/>
    </xf>
    <xf numFmtId="164" fontId="2" fillId="2" borderId="0" xfId="1" applyFont="1" applyFill="1"/>
    <xf numFmtId="165" fontId="2" fillId="2" borderId="0" xfId="1" applyNumberFormat="1" applyFont="1" applyFill="1"/>
    <xf numFmtId="165" fontId="2" fillId="2" borderId="0" xfId="1" applyNumberFormat="1" applyFont="1" applyFill="1" applyAlignment="1">
      <alignment horizontal="center"/>
    </xf>
    <xf numFmtId="165" fontId="6" fillId="2" borderId="1" xfId="1" applyNumberFormat="1" applyFont="1" applyFill="1" applyBorder="1" applyAlignment="1">
      <alignment horizontal="center" vertical="center" wrapText="1"/>
    </xf>
    <xf numFmtId="165" fontId="4" fillId="2" borderId="2" xfId="1" applyNumberFormat="1" applyFont="1" applyFill="1" applyBorder="1" applyAlignment="1">
      <alignment horizontal="right" vertical="center"/>
    </xf>
    <xf numFmtId="165" fontId="4" fillId="2" borderId="3" xfId="1" applyNumberFormat="1" applyFont="1" applyFill="1" applyBorder="1" applyAlignment="1">
      <alignment horizontal="right" vertical="center"/>
    </xf>
    <xf numFmtId="165" fontId="6" fillId="2" borderId="3" xfId="1" applyNumberFormat="1" applyFont="1" applyFill="1" applyBorder="1" applyAlignment="1">
      <alignment horizontal="right" vertical="center"/>
    </xf>
    <xf numFmtId="165" fontId="6" fillId="2" borderId="4" xfId="1" applyNumberFormat="1" applyFont="1" applyFill="1" applyBorder="1" applyAlignment="1">
      <alignment horizontal="right" vertical="center"/>
    </xf>
    <xf numFmtId="165" fontId="4" fillId="2" borderId="0" xfId="1" applyNumberFormat="1" applyFont="1" applyFill="1"/>
    <xf numFmtId="165" fontId="10" fillId="2" borderId="0" xfId="1" applyNumberFormat="1" applyFont="1" applyFill="1"/>
    <xf numFmtId="165" fontId="2" fillId="2" borderId="9" xfId="1" applyNumberFormat="1" applyFont="1" applyFill="1" applyBorder="1" applyAlignment="1">
      <alignment horizontal="center"/>
    </xf>
    <xf numFmtId="4" fontId="3" fillId="0" borderId="0" xfId="0" applyNumberFormat="1" applyFont="1"/>
    <xf numFmtId="3" fontId="4" fillId="2" borderId="0" xfId="0" applyNumberFormat="1" applyFont="1" applyFill="1"/>
    <xf numFmtId="0" fontId="8" fillId="2" borderId="0" xfId="0" applyFont="1" applyFill="1" applyAlignment="1">
      <alignment horizontal="right" vertical="center"/>
    </xf>
    <xf numFmtId="0" fontId="6" fillId="2" borderId="1" xfId="0" applyFont="1" applyFill="1" applyBorder="1" applyAlignment="1">
      <alignment horizontal="center" vertical="center" wrapText="1"/>
    </xf>
    <xf numFmtId="165" fontId="4" fillId="0" borderId="2" xfId="1" applyNumberFormat="1" applyFont="1" applyFill="1" applyBorder="1" applyAlignment="1">
      <alignment horizontal="right" vertical="center"/>
    </xf>
    <xf numFmtId="3" fontId="4" fillId="0" borderId="2" xfId="0" applyNumberFormat="1" applyFont="1" applyFill="1" applyBorder="1" applyAlignment="1">
      <alignment horizontal="right" vertical="center"/>
    </xf>
    <xf numFmtId="165" fontId="4" fillId="0" borderId="3" xfId="1" applyNumberFormat="1" applyFont="1" applyFill="1" applyBorder="1" applyAlignment="1">
      <alignment horizontal="right" vertical="center"/>
    </xf>
    <xf numFmtId="3" fontId="4" fillId="0" borderId="3" xfId="0" applyNumberFormat="1" applyFont="1" applyFill="1" applyBorder="1" applyAlignment="1">
      <alignment horizontal="right" vertical="center"/>
    </xf>
    <xf numFmtId="166" fontId="4" fillId="2" borderId="3" xfId="1" applyNumberFormat="1" applyFont="1" applyFill="1" applyBorder="1" applyAlignment="1">
      <alignment horizontal="right" vertical="center"/>
    </xf>
    <xf numFmtId="164" fontId="4" fillId="2" borderId="3" xfId="1" applyNumberFormat="1" applyFont="1" applyFill="1" applyBorder="1" applyAlignment="1">
      <alignment horizontal="right" vertical="center"/>
    </xf>
    <xf numFmtId="164" fontId="4" fillId="0" borderId="3" xfId="1" applyNumberFormat="1" applyFont="1" applyFill="1" applyBorder="1" applyAlignment="1">
      <alignment horizontal="right" vertical="center"/>
    </xf>
    <xf numFmtId="0" fontId="2" fillId="2" borderId="0" xfId="0" applyFont="1" applyFill="1" applyBorder="1" applyAlignment="1">
      <alignment horizontal="center"/>
    </xf>
    <xf numFmtId="0" fontId="4" fillId="2" borderId="0" xfId="0" quotePrefix="1" applyFont="1" applyFill="1" applyAlignment="1">
      <alignment vertical="center"/>
    </xf>
    <xf numFmtId="0" fontId="4" fillId="2" borderId="0" xfId="0" applyFont="1" applyFill="1" applyAlignment="1">
      <alignment vertical="center"/>
    </xf>
    <xf numFmtId="164" fontId="4" fillId="2" borderId="0" xfId="1" applyFont="1" applyFill="1" applyAlignment="1">
      <alignment vertical="center"/>
    </xf>
    <xf numFmtId="166" fontId="4" fillId="2" borderId="0" xfId="1" applyNumberFormat="1" applyFont="1" applyFill="1"/>
    <xf numFmtId="167" fontId="4" fillId="2" borderId="3" xfId="0" applyNumberFormat="1" applyFont="1" applyFill="1" applyBorder="1" applyAlignment="1">
      <alignment horizontal="right" vertical="center"/>
    </xf>
    <xf numFmtId="4" fontId="9" fillId="2" borderId="3" xfId="0" applyNumberFormat="1" applyFont="1" applyFill="1" applyBorder="1" applyAlignment="1">
      <alignment horizontal="right" vertical="center"/>
    </xf>
    <xf numFmtId="3" fontId="4" fillId="0" borderId="3" xfId="0" applyNumberFormat="1" applyFont="1" applyBorder="1" applyAlignment="1">
      <alignment horizontal="right" vertical="center"/>
    </xf>
    <xf numFmtId="168" fontId="2" fillId="2" borderId="0" xfId="0" applyNumberFormat="1" applyFont="1" applyFill="1"/>
    <xf numFmtId="165" fontId="2" fillId="2" borderId="0" xfId="1" applyNumberFormat="1" applyFont="1" applyFill="1" applyBorder="1"/>
    <xf numFmtId="0" fontId="12" fillId="2" borderId="0" xfId="0" applyFont="1" applyFill="1"/>
    <xf numFmtId="166" fontId="12" fillId="2" borderId="0" xfId="1" applyNumberFormat="1" applyFont="1" applyFill="1"/>
    <xf numFmtId="4" fontId="6" fillId="0" borderId="5" xfId="0" applyNumberFormat="1" applyFont="1" applyBorder="1" applyAlignment="1">
      <alignment vertical="center"/>
    </xf>
    <xf numFmtId="0" fontId="6" fillId="2" borderId="1" xfId="0" applyFont="1" applyFill="1" applyBorder="1" applyAlignment="1">
      <alignment horizontal="center" vertical="center" wrapText="1"/>
    </xf>
    <xf numFmtId="0" fontId="12" fillId="2" borderId="0" xfId="2" applyFont="1" applyFill="1"/>
    <xf numFmtId="0" fontId="14" fillId="2" borderId="0" xfId="2" applyFont="1" applyFill="1" applyAlignment="1">
      <alignment vertical="top"/>
    </xf>
    <xf numFmtId="3" fontId="14" fillId="2" borderId="4" xfId="2" applyNumberFormat="1" applyFont="1" applyFill="1" applyBorder="1" applyAlignment="1">
      <alignment vertical="center" wrapText="1"/>
    </xf>
    <xf numFmtId="3" fontId="15" fillId="2" borderId="4" xfId="2" applyNumberFormat="1" applyFont="1" applyFill="1" applyBorder="1" applyAlignment="1">
      <alignment vertical="center" wrapText="1"/>
    </xf>
    <xf numFmtId="0" fontId="14" fillId="2" borderId="4" xfId="2" applyFont="1" applyFill="1" applyBorder="1" applyAlignment="1">
      <alignment vertical="top" wrapText="1"/>
    </xf>
    <xf numFmtId="0" fontId="14" fillId="2" borderId="4" xfId="2" applyFont="1" applyFill="1" applyBorder="1" applyAlignment="1">
      <alignment horizontal="center" vertical="top"/>
    </xf>
    <xf numFmtId="0" fontId="12" fillId="2" borderId="0" xfId="2" applyFont="1" applyFill="1" applyAlignment="1">
      <alignment vertical="top"/>
    </xf>
    <xf numFmtId="3" fontId="12" fillId="2" borderId="3" xfId="2" applyNumberFormat="1" applyFont="1" applyFill="1" applyBorder="1" applyAlignment="1">
      <alignment vertical="center"/>
    </xf>
    <xf numFmtId="3" fontId="4" fillId="2" borderId="3" xfId="2" applyNumberFormat="1" applyFont="1" applyFill="1" applyBorder="1" applyAlignment="1">
      <alignment vertical="center"/>
    </xf>
    <xf numFmtId="0" fontId="12" fillId="2" borderId="3" xfId="2" applyFont="1" applyFill="1" applyBorder="1" applyAlignment="1">
      <alignment vertical="top"/>
    </xf>
    <xf numFmtId="0" fontId="12" fillId="2" borderId="3" xfId="2" applyFont="1" applyFill="1" applyBorder="1" applyAlignment="1">
      <alignment horizontal="center" vertical="top"/>
    </xf>
    <xf numFmtId="43" fontId="14" fillId="2" borderId="0" xfId="3" applyFont="1" applyFill="1" applyAlignment="1">
      <alignment vertical="top"/>
    </xf>
    <xf numFmtId="3" fontId="14" fillId="2" borderId="0" xfId="2" applyNumberFormat="1" applyFont="1" applyFill="1" applyAlignment="1">
      <alignment vertical="top"/>
    </xf>
    <xf numFmtId="3" fontId="14" fillId="2" borderId="3" xfId="2" applyNumberFormat="1" applyFont="1" applyFill="1" applyBorder="1" applyAlignment="1">
      <alignment vertical="center" wrapText="1"/>
    </xf>
    <xf numFmtId="3" fontId="15" fillId="2" borderId="3" xfId="2" applyNumberFormat="1" applyFont="1" applyFill="1" applyBorder="1" applyAlignment="1">
      <alignment vertical="center" wrapText="1"/>
    </xf>
    <xf numFmtId="3" fontId="16" fillId="2" borderId="3" xfId="2" applyNumberFormat="1" applyFont="1" applyFill="1" applyBorder="1" applyAlignment="1">
      <alignment vertical="center" wrapText="1"/>
    </xf>
    <xf numFmtId="0" fontId="14" fillId="2" borderId="3" xfId="2" quotePrefix="1" applyFont="1" applyFill="1" applyBorder="1" applyAlignment="1">
      <alignment vertical="top" wrapText="1"/>
    </xf>
    <xf numFmtId="0" fontId="14" fillId="2" borderId="3" xfId="2" applyFont="1" applyFill="1" applyBorder="1" applyAlignment="1">
      <alignment horizontal="center" vertical="top"/>
    </xf>
    <xf numFmtId="0" fontId="14" fillId="2" borderId="3" xfId="2" applyFont="1" applyFill="1" applyBorder="1" applyAlignment="1">
      <alignment vertical="top" wrapText="1"/>
    </xf>
    <xf numFmtId="3" fontId="15" fillId="2" borderId="3" xfId="2" applyNumberFormat="1" applyFont="1" applyFill="1" applyBorder="1" applyAlignment="1">
      <alignment vertical="center"/>
    </xf>
    <xf numFmtId="3" fontId="12" fillId="2" borderId="3" xfId="2" applyNumberFormat="1" applyFont="1" applyFill="1" applyBorder="1" applyAlignment="1">
      <alignment vertical="top" wrapText="1"/>
    </xf>
    <xf numFmtId="0" fontId="12" fillId="2" borderId="3" xfId="2" applyFont="1" applyFill="1" applyBorder="1" applyAlignment="1">
      <alignment vertical="top" wrapText="1"/>
    </xf>
    <xf numFmtId="3" fontId="12" fillId="2" borderId="3" xfId="2" applyNumberFormat="1" applyFont="1" applyFill="1" applyBorder="1" applyAlignment="1">
      <alignment vertical="top"/>
    </xf>
    <xf numFmtId="3" fontId="4" fillId="2" borderId="3" xfId="2" applyNumberFormat="1" applyFont="1" applyFill="1" applyBorder="1" applyAlignment="1">
      <alignment vertical="top" wrapText="1"/>
    </xf>
    <xf numFmtId="3" fontId="4" fillId="2" borderId="3" xfId="2" applyNumberFormat="1" applyFont="1" applyFill="1" applyBorder="1" applyAlignment="1">
      <alignment vertical="top"/>
    </xf>
    <xf numFmtId="0" fontId="12" fillId="2" borderId="0" xfId="2" applyFont="1" applyFill="1" applyAlignment="1">
      <alignment vertical="top" wrapText="1"/>
    </xf>
    <xf numFmtId="3" fontId="12" fillId="2" borderId="0" xfId="2" applyNumberFormat="1" applyFont="1" applyFill="1" applyAlignment="1">
      <alignment vertical="top" wrapText="1"/>
    </xf>
    <xf numFmtId="3" fontId="17" fillId="2" borderId="3" xfId="2" applyNumberFormat="1" applyFont="1" applyFill="1" applyBorder="1" applyAlignment="1">
      <alignment vertical="center" wrapText="1"/>
    </xf>
    <xf numFmtId="3" fontId="17" fillId="2" borderId="2" xfId="2" applyNumberFormat="1" applyFont="1" applyFill="1" applyBorder="1" applyAlignment="1">
      <alignment vertical="top" wrapText="1"/>
    </xf>
    <xf numFmtId="3" fontId="6" fillId="2" borderId="2" xfId="2" applyNumberFormat="1" applyFont="1" applyFill="1" applyBorder="1" applyAlignment="1">
      <alignment vertical="top" wrapText="1"/>
    </xf>
    <xf numFmtId="0" fontId="17" fillId="2" borderId="2" xfId="2" applyFont="1" applyFill="1" applyBorder="1" applyAlignment="1">
      <alignment horizontal="center" vertical="center" wrapText="1"/>
    </xf>
    <xf numFmtId="0" fontId="17" fillId="2" borderId="2" xfId="2" applyFont="1" applyFill="1" applyBorder="1" applyAlignment="1">
      <alignment horizontal="center" vertical="top" wrapText="1"/>
    </xf>
    <xf numFmtId="2" fontId="17" fillId="2" borderId="1" xfId="2" applyNumberFormat="1" applyFont="1" applyFill="1" applyBorder="1" applyAlignment="1">
      <alignment horizontal="center" vertical="center" wrapText="1"/>
    </xf>
    <xf numFmtId="0" fontId="18" fillId="2" borderId="0" xfId="2" applyFont="1" applyFill="1" applyAlignment="1">
      <alignment horizontal="right"/>
    </xf>
    <xf numFmtId="3" fontId="12" fillId="2" borderId="0" xfId="2" applyNumberFormat="1" applyFont="1" applyFill="1"/>
    <xf numFmtId="0" fontId="18" fillId="2" borderId="0" xfId="2" applyFont="1" applyFill="1" applyAlignment="1">
      <alignment horizontal="center"/>
    </xf>
    <xf numFmtId="0" fontId="17" fillId="2" borderId="0" xfId="2" applyFont="1" applyFill="1" applyAlignment="1">
      <alignment vertical="center"/>
    </xf>
    <xf numFmtId="0" fontId="19" fillId="2" borderId="0" xfId="2" applyFont="1" applyFill="1" applyAlignment="1">
      <alignment vertical="center"/>
    </xf>
    <xf numFmtId="0" fontId="17" fillId="2" borderId="0" xfId="2" applyFont="1" applyFill="1" applyAlignment="1">
      <alignment horizontal="right"/>
    </xf>
    <xf numFmtId="0" fontId="20" fillId="2" borderId="0" xfId="2" applyFont="1" applyFill="1" applyAlignment="1">
      <alignment horizontal="left"/>
    </xf>
    <xf numFmtId="169" fontId="12" fillId="2" borderId="0" xfId="2" applyNumberFormat="1" applyFont="1" applyFill="1"/>
    <xf numFmtId="3" fontId="17" fillId="2" borderId="1" xfId="2" applyNumberFormat="1" applyFont="1" applyFill="1" applyBorder="1" applyAlignment="1">
      <alignment horizontal="center" vertical="center" wrapText="1"/>
    </xf>
    <xf numFmtId="3" fontId="17" fillId="2" borderId="3" xfId="2" applyNumberFormat="1" applyFont="1" applyFill="1" applyBorder="1" applyAlignment="1">
      <alignment horizontal="center" vertical="center" wrapText="1"/>
    </xf>
    <xf numFmtId="0" fontId="14" fillId="2" borderId="0" xfId="2" applyFont="1" applyFill="1"/>
    <xf numFmtId="0" fontId="4" fillId="2" borderId="0" xfId="2" applyFont="1" applyFill="1"/>
    <xf numFmtId="0" fontId="6" fillId="2" borderId="1" xfId="0" applyFont="1" applyFill="1" applyBorder="1" applyAlignment="1">
      <alignment horizontal="center" vertical="center" wrapText="1"/>
    </xf>
    <xf numFmtId="2" fontId="17" fillId="2" borderId="17" xfId="2" applyNumberFormat="1" applyFont="1" applyFill="1" applyBorder="1" applyAlignment="1">
      <alignment horizontal="center" vertical="center" wrapText="1"/>
    </xf>
    <xf numFmtId="2" fontId="17" fillId="2" borderId="16" xfId="2" applyNumberFormat="1" applyFont="1" applyFill="1" applyBorder="1" applyAlignment="1">
      <alignment horizontal="center" vertical="center" wrapText="1"/>
    </xf>
    <xf numFmtId="0" fontId="20" fillId="2" borderId="0" xfId="2" applyFont="1" applyFill="1" applyAlignment="1">
      <alignment horizontal="right"/>
    </xf>
    <xf numFmtId="0" fontId="17" fillId="2" borderId="0" xfId="2" applyFont="1" applyFill="1" applyAlignment="1">
      <alignment horizontal="center"/>
    </xf>
    <xf numFmtId="0" fontId="18" fillId="2" borderId="0" xfId="2" applyFont="1" applyFill="1" applyAlignment="1">
      <alignment horizontal="center"/>
    </xf>
    <xf numFmtId="2" fontId="17" fillId="2" borderId="6" xfId="2" applyNumberFormat="1" applyFont="1" applyFill="1" applyBorder="1" applyAlignment="1">
      <alignment horizontal="center" vertical="center" wrapText="1"/>
    </xf>
    <xf numFmtId="2" fontId="17" fillId="2" borderId="7" xfId="2" applyNumberFormat="1" applyFont="1" applyFill="1" applyBorder="1" applyAlignment="1">
      <alignment horizontal="center" vertical="center" wrapText="1"/>
    </xf>
    <xf numFmtId="2" fontId="17" fillId="2" borderId="10" xfId="2" applyNumberFormat="1" applyFont="1" applyFill="1" applyBorder="1" applyAlignment="1">
      <alignment horizontal="center" vertical="center" wrapText="1"/>
    </xf>
    <xf numFmtId="2" fontId="17" fillId="2" borderId="11" xfId="2" applyNumberFormat="1" applyFont="1" applyFill="1" applyBorder="1" applyAlignment="1">
      <alignment horizontal="center" vertical="center" wrapText="1"/>
    </xf>
    <xf numFmtId="2" fontId="17" fillId="2" borderId="12" xfId="2" applyNumberFormat="1" applyFont="1" applyFill="1" applyBorder="1" applyAlignment="1">
      <alignment horizontal="center" vertical="center" wrapText="1"/>
    </xf>
    <xf numFmtId="2" fontId="17" fillId="2" borderId="19" xfId="2" applyNumberFormat="1" applyFont="1" applyFill="1" applyBorder="1" applyAlignment="1">
      <alignment horizontal="center" vertical="center" wrapText="1"/>
    </xf>
    <xf numFmtId="2" fontId="17" fillId="2" borderId="20" xfId="2" applyNumberFormat="1" applyFont="1" applyFill="1" applyBorder="1" applyAlignment="1">
      <alignment horizontal="center" vertical="center" wrapText="1"/>
    </xf>
    <xf numFmtId="2" fontId="17" fillId="2" borderId="13" xfId="2" applyNumberFormat="1" applyFont="1" applyFill="1" applyBorder="1" applyAlignment="1">
      <alignment horizontal="center" vertical="center" wrapText="1"/>
    </xf>
    <xf numFmtId="2" fontId="17" fillId="2" borderId="14" xfId="2" applyNumberFormat="1" applyFont="1" applyFill="1" applyBorder="1" applyAlignment="1">
      <alignment horizontal="center" vertical="center" wrapText="1"/>
    </xf>
    <xf numFmtId="1" fontId="17" fillId="2" borderId="1" xfId="2" applyNumberFormat="1" applyFont="1" applyFill="1" applyBorder="1" applyAlignment="1">
      <alignment horizontal="center" vertical="center" wrapText="1"/>
    </xf>
    <xf numFmtId="2" fontId="17" fillId="2" borderId="18" xfId="2" applyNumberFormat="1" applyFont="1" applyFill="1" applyBorder="1" applyAlignment="1">
      <alignment horizontal="center" vertical="center" wrapText="1"/>
    </xf>
    <xf numFmtId="1" fontId="17" fillId="2" borderId="17" xfId="2" applyNumberFormat="1" applyFont="1" applyFill="1" applyBorder="1" applyAlignment="1">
      <alignment horizontal="center" vertical="center" wrapText="1"/>
    </xf>
    <xf numFmtId="1" fontId="17" fillId="2" borderId="18" xfId="2" applyNumberFormat="1" applyFont="1" applyFill="1" applyBorder="1" applyAlignment="1">
      <alignment horizontal="center" vertical="center" wrapText="1"/>
    </xf>
    <xf numFmtId="1" fontId="17" fillId="2" borderId="16" xfId="2"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4" fillId="2" borderId="8"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5" xfId="0" applyFont="1" applyFill="1" applyBorder="1" applyAlignment="1">
      <alignment horizontal="center" vertical="center" wrapText="1"/>
    </xf>
    <xf numFmtId="3" fontId="4" fillId="2" borderId="8" xfId="0" applyNumberFormat="1" applyFont="1" applyFill="1" applyBorder="1" applyAlignment="1">
      <alignment horizontal="center" vertical="center"/>
    </xf>
    <xf numFmtId="3" fontId="4" fillId="2" borderId="7" xfId="0" applyNumberFormat="1" applyFont="1" applyFill="1" applyBorder="1" applyAlignment="1">
      <alignment horizontal="center" vertical="center"/>
    </xf>
    <xf numFmtId="3" fontId="4" fillId="2" borderId="5" xfId="0" applyNumberFormat="1" applyFont="1" applyFill="1" applyBorder="1" applyAlignment="1">
      <alignment horizontal="center" vertical="center"/>
    </xf>
    <xf numFmtId="0" fontId="4" fillId="2" borderId="8"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5" xfId="0" applyFont="1" applyFill="1" applyBorder="1" applyAlignment="1">
      <alignment horizontal="left" vertical="center" wrapText="1"/>
    </xf>
    <xf numFmtId="0" fontId="6" fillId="2" borderId="17"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0" xfId="0" applyFont="1" applyFill="1" applyAlignment="1">
      <alignment horizontal="center"/>
    </xf>
    <xf numFmtId="0" fontId="5" fillId="2" borderId="0" xfId="0" applyFont="1" applyFill="1" applyAlignment="1">
      <alignment horizontal="center"/>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7" fillId="2" borderId="0" xfId="0" applyFont="1" applyFill="1" applyAlignment="1">
      <alignment horizontal="center" vertical="center"/>
    </xf>
    <xf numFmtId="0" fontId="2" fillId="2" borderId="9" xfId="0" applyFont="1" applyFill="1" applyBorder="1" applyAlignment="1">
      <alignment horizontal="center"/>
    </xf>
    <xf numFmtId="0" fontId="6" fillId="0" borderId="0" xfId="0" applyFont="1" applyAlignment="1">
      <alignment horizontal="center"/>
    </xf>
    <xf numFmtId="0" fontId="7" fillId="0" borderId="0" xfId="0" applyFont="1" applyAlignment="1">
      <alignment horizontal="center" vertical="center"/>
    </xf>
    <xf numFmtId="0" fontId="7" fillId="0" borderId="0" xfId="0" applyFont="1" applyAlignment="1">
      <alignment horizontal="center"/>
    </xf>
    <xf numFmtId="0" fontId="4" fillId="2" borderId="0" xfId="0" applyFont="1" applyFill="1" applyAlignment="1">
      <alignment horizontal="left" wrapText="1"/>
    </xf>
    <xf numFmtId="0" fontId="4" fillId="2" borderId="0" xfId="0" applyFont="1" applyFill="1" applyAlignment="1">
      <alignment horizontal="left"/>
    </xf>
    <xf numFmtId="0" fontId="12" fillId="2" borderId="0" xfId="2" applyFont="1" applyFill="1" applyAlignment="1">
      <alignment wrapText="1"/>
    </xf>
    <xf numFmtId="0" fontId="2" fillId="2" borderId="0" xfId="0" applyFont="1" applyFill="1" applyAlignment="1"/>
    <xf numFmtId="165" fontId="2" fillId="2" borderId="0" xfId="1" applyNumberFormat="1" applyFont="1" applyFill="1" applyAlignment="1"/>
    <xf numFmtId="168" fontId="2" fillId="2" borderId="0" xfId="0" applyNumberFormat="1" applyFont="1" applyFill="1" applyAlignment="1"/>
    <xf numFmtId="3" fontId="2" fillId="2" borderId="0" xfId="0" applyNumberFormat="1" applyFont="1" applyFill="1" applyAlignment="1"/>
    <xf numFmtId="0" fontId="12" fillId="2" borderId="0" xfId="2" applyFont="1" applyFill="1" applyAlignment="1"/>
  </cellXfs>
  <cellStyles count="5">
    <cellStyle name="Comma" xfId="1" builtinId="3"/>
    <cellStyle name="Comma 2" xfId="3" xr:uid="{CBFFE2B8-8078-42EE-A373-0DC0FA453871}"/>
    <cellStyle name="Normal" xfId="0" builtinId="0"/>
    <cellStyle name="Normal 2" xfId="2" xr:uid="{DC859722-A80C-4FF2-82F9-33C596537450}"/>
    <cellStyle name="Normal 3" xfId="4" xr:uid="{B55537BB-B0FF-486F-89FF-300627FB00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395406</xdr:colOff>
      <xdr:row>2</xdr:row>
      <xdr:rowOff>27214</xdr:rowOff>
    </xdr:from>
    <xdr:to>
      <xdr:col>1</xdr:col>
      <xdr:colOff>574700</xdr:colOff>
      <xdr:row>2</xdr:row>
      <xdr:rowOff>27214</xdr:rowOff>
    </xdr:to>
    <xdr:cxnSp macro="">
      <xdr:nvCxnSpPr>
        <xdr:cNvPr id="3" name="Straight Connector 2">
          <a:extLst>
            <a:ext uri="{FF2B5EF4-FFF2-40B4-BE49-F238E27FC236}">
              <a16:creationId xmlns:a16="http://schemas.microsoft.com/office/drawing/2014/main" id="{1225450C-14AE-4BEA-A55D-7AA7DF2F806C}"/>
            </a:ext>
          </a:extLst>
        </xdr:cNvPr>
        <xdr:cNvCxnSpPr/>
      </xdr:nvCxnSpPr>
      <xdr:spPr>
        <a:xfrm>
          <a:off x="395406" y="421821"/>
          <a:ext cx="61472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188256</xdr:colOff>
      <xdr:row>2</xdr:row>
      <xdr:rowOff>0</xdr:rowOff>
    </xdr:from>
    <xdr:to>
      <xdr:col>1</xdr:col>
      <xdr:colOff>575419</xdr:colOff>
      <xdr:row>2</xdr:row>
      <xdr:rowOff>0</xdr:rowOff>
    </xdr:to>
    <xdr:cxnSp macro="">
      <xdr:nvCxnSpPr>
        <xdr:cNvPr id="3" name="Straight Connector 2">
          <a:extLst>
            <a:ext uri="{FF2B5EF4-FFF2-40B4-BE49-F238E27FC236}">
              <a16:creationId xmlns:a16="http://schemas.microsoft.com/office/drawing/2014/main" id="{3380BD17-6EFD-4BED-8711-121600EF73DA}"/>
            </a:ext>
          </a:extLst>
        </xdr:cNvPr>
        <xdr:cNvCxnSpPr/>
      </xdr:nvCxnSpPr>
      <xdr:spPr>
        <a:xfrm>
          <a:off x="188256" y="392206"/>
          <a:ext cx="7905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F9D33-FC3A-458A-AC90-DCB0A239BD21}">
  <sheetPr>
    <tabColor rgb="FF00B050"/>
    <pageSetUpPr fitToPage="1"/>
  </sheetPr>
  <dimension ref="A1:N29"/>
  <sheetViews>
    <sheetView tabSelected="1" view="pageBreakPreview" zoomScale="70" zoomScaleNormal="85" zoomScaleSheetLayoutView="70" workbookViewId="0">
      <pane xSplit="2" ySplit="10" topLeftCell="C20" activePane="bottomRight" state="frozen"/>
      <selection pane="topRight" activeCell="G1" sqref="G1"/>
      <selection pane="bottomLeft" activeCell="A11" sqref="A11"/>
      <selection pane="bottomRight" activeCell="C30" sqref="C30"/>
    </sheetView>
  </sheetViews>
  <sheetFormatPr defaultColWidth="9.109375" defaultRowHeight="18" x14ac:dyDescent="0.35"/>
  <cols>
    <col min="1" max="1" width="7.5546875" style="80" customWidth="1"/>
    <col min="2" max="2" width="55.109375" style="80" customWidth="1"/>
    <col min="3" max="3" width="15.88671875" style="80" customWidth="1"/>
    <col min="4" max="4" width="15.44140625" style="80" customWidth="1"/>
    <col min="5" max="7" width="15.5546875" style="80" customWidth="1"/>
    <col min="8" max="9" width="15.109375" style="80" customWidth="1"/>
    <col min="10" max="12" width="15.88671875" style="80" customWidth="1"/>
    <col min="13" max="13" width="17.88671875" style="80" bestFit="1" customWidth="1"/>
    <col min="14" max="14" width="24.44140625" style="80" bestFit="1" customWidth="1"/>
    <col min="15" max="15" width="11.6640625" style="80" bestFit="1" customWidth="1"/>
    <col min="16" max="16" width="19.33203125" style="80" bestFit="1" customWidth="1"/>
    <col min="17" max="16384" width="9.109375" style="80"/>
  </cols>
  <sheetData>
    <row r="1" spans="1:13" x14ac:dyDescent="0.35">
      <c r="A1" s="119" t="s">
        <v>43</v>
      </c>
      <c r="J1" s="128" t="s">
        <v>78</v>
      </c>
      <c r="K1" s="128"/>
      <c r="L1" s="128"/>
    </row>
    <row r="2" spans="1:13" x14ac:dyDescent="0.35">
      <c r="A2" s="117" t="s">
        <v>44</v>
      </c>
      <c r="B2" s="116"/>
    </row>
    <row r="3" spans="1:13" x14ac:dyDescent="0.35">
      <c r="A3" s="116"/>
      <c r="B3" s="116"/>
      <c r="I3" s="120"/>
    </row>
    <row r="4" spans="1:13" x14ac:dyDescent="0.35">
      <c r="A4" s="129" t="s">
        <v>79</v>
      </c>
      <c r="B4" s="129"/>
      <c r="C4" s="129"/>
      <c r="D4" s="129"/>
      <c r="E4" s="129"/>
      <c r="F4" s="129"/>
      <c r="G4" s="129"/>
      <c r="H4" s="129"/>
      <c r="I4" s="129"/>
      <c r="J4" s="129"/>
      <c r="K4" s="129"/>
      <c r="L4" s="129"/>
    </row>
    <row r="5" spans="1:13" x14ac:dyDescent="0.35">
      <c r="A5" s="130" t="s">
        <v>87</v>
      </c>
      <c r="B5" s="130"/>
      <c r="C5" s="130"/>
      <c r="D5" s="130"/>
      <c r="E5" s="130"/>
      <c r="F5" s="130"/>
      <c r="G5" s="130"/>
      <c r="H5" s="130"/>
      <c r="I5" s="130"/>
      <c r="J5" s="130"/>
      <c r="K5" s="130"/>
      <c r="L5" s="130"/>
    </row>
    <row r="6" spans="1:13" x14ac:dyDescent="0.35">
      <c r="A6" s="115"/>
      <c r="B6" s="115"/>
      <c r="C6" s="115"/>
      <c r="D6" s="115"/>
      <c r="E6" s="115"/>
      <c r="F6" s="115"/>
      <c r="G6" s="115"/>
      <c r="H6" s="115"/>
      <c r="I6" s="115"/>
      <c r="J6" s="115"/>
      <c r="K6" s="115"/>
      <c r="L6" s="115"/>
    </row>
    <row r="7" spans="1:13" x14ac:dyDescent="0.35">
      <c r="A7" s="115"/>
      <c r="B7" s="115"/>
      <c r="D7" s="114"/>
      <c r="L7" s="113"/>
    </row>
    <row r="8" spans="1:13" ht="18.75" customHeight="1" x14ac:dyDescent="0.35">
      <c r="A8" s="131" t="s">
        <v>1</v>
      </c>
      <c r="B8" s="131" t="s">
        <v>74</v>
      </c>
      <c r="C8" s="134" t="s">
        <v>73</v>
      </c>
      <c r="D8" s="135"/>
      <c r="E8" s="140" t="s">
        <v>80</v>
      </c>
      <c r="F8" s="140"/>
      <c r="G8" s="140"/>
      <c r="H8" s="140"/>
      <c r="I8" s="140"/>
      <c r="J8" s="140"/>
      <c r="K8" s="140"/>
      <c r="L8" s="140"/>
    </row>
    <row r="9" spans="1:13" ht="30" customHeight="1" x14ac:dyDescent="0.35">
      <c r="A9" s="132"/>
      <c r="B9" s="132"/>
      <c r="C9" s="136"/>
      <c r="D9" s="137"/>
      <c r="E9" s="134" t="s">
        <v>81</v>
      </c>
      <c r="F9" s="135"/>
      <c r="G9" s="126" t="s">
        <v>71</v>
      </c>
      <c r="H9" s="141"/>
      <c r="I9" s="141"/>
      <c r="J9" s="127"/>
      <c r="K9" s="134" t="s">
        <v>84</v>
      </c>
      <c r="L9" s="135"/>
    </row>
    <row r="10" spans="1:13" ht="29.25" customHeight="1" x14ac:dyDescent="0.35">
      <c r="A10" s="132"/>
      <c r="B10" s="132"/>
      <c r="C10" s="138"/>
      <c r="D10" s="139"/>
      <c r="E10" s="138"/>
      <c r="F10" s="139"/>
      <c r="G10" s="126" t="s">
        <v>70</v>
      </c>
      <c r="H10" s="127"/>
      <c r="I10" s="126" t="s">
        <v>69</v>
      </c>
      <c r="J10" s="127"/>
      <c r="K10" s="138"/>
      <c r="L10" s="139"/>
    </row>
    <row r="11" spans="1:13" s="86" customFormat="1" x14ac:dyDescent="0.3">
      <c r="A11" s="133"/>
      <c r="B11" s="133"/>
      <c r="C11" s="121" t="s">
        <v>82</v>
      </c>
      <c r="D11" s="122" t="s">
        <v>83</v>
      </c>
      <c r="E11" s="121" t="s">
        <v>82</v>
      </c>
      <c r="F11" s="122" t="s">
        <v>83</v>
      </c>
      <c r="G11" s="121" t="s">
        <v>82</v>
      </c>
      <c r="H11" s="122" t="s">
        <v>83</v>
      </c>
      <c r="I11" s="121" t="s">
        <v>82</v>
      </c>
      <c r="J11" s="122" t="s">
        <v>83</v>
      </c>
      <c r="K11" s="121" t="s">
        <v>82</v>
      </c>
      <c r="L11" s="122" t="s">
        <v>83</v>
      </c>
    </row>
    <row r="12" spans="1:13" s="105" customFormat="1" ht="19.5" customHeight="1" x14ac:dyDescent="0.3">
      <c r="A12" s="111"/>
      <c r="B12" s="110" t="s">
        <v>68</v>
      </c>
      <c r="C12" s="109">
        <f>C17+C23</f>
        <v>15877.4962</v>
      </c>
      <c r="D12" s="109">
        <f>D17+D23</f>
        <v>403757.87939432001</v>
      </c>
      <c r="E12" s="109">
        <f>E17+E23</f>
        <v>2016.5174249999998</v>
      </c>
      <c r="F12" s="109">
        <f>F17+F23</f>
        <v>48982.960843284993</v>
      </c>
      <c r="G12" s="109">
        <f t="shared" ref="G12:L12" si="0">G13+G14+G15+G16+G17+G23</f>
        <v>1787.6879700000002</v>
      </c>
      <c r="H12" s="109">
        <f t="shared" si="0"/>
        <v>50346.186767000007</v>
      </c>
      <c r="I12" s="109">
        <f t="shared" si="0"/>
        <v>789.03078000000005</v>
      </c>
      <c r="J12" s="109">
        <f t="shared" si="0"/>
        <v>19999.756912999997</v>
      </c>
      <c r="K12" s="109">
        <f t="shared" si="0"/>
        <v>16106.325655000001</v>
      </c>
      <c r="L12" s="109">
        <f t="shared" si="0"/>
        <v>402394.65347060503</v>
      </c>
      <c r="M12" s="106"/>
    </row>
    <row r="13" spans="1:13" s="86" customFormat="1" x14ac:dyDescent="0.3">
      <c r="A13" s="90">
        <v>1</v>
      </c>
      <c r="B13" s="89" t="s">
        <v>67</v>
      </c>
      <c r="C13" s="100"/>
      <c r="D13" s="100"/>
      <c r="E13" s="100"/>
      <c r="F13" s="100"/>
      <c r="G13" s="100"/>
      <c r="H13" s="100"/>
      <c r="I13" s="100"/>
      <c r="J13" s="100"/>
      <c r="K13" s="100"/>
      <c r="L13" s="100"/>
    </row>
    <row r="14" spans="1:13" s="86" customFormat="1" x14ac:dyDescent="0.3">
      <c r="A14" s="90">
        <v>2</v>
      </c>
      <c r="B14" s="89" t="s">
        <v>66</v>
      </c>
      <c r="C14" s="100"/>
      <c r="D14" s="100"/>
      <c r="E14" s="100"/>
      <c r="F14" s="100"/>
      <c r="G14" s="100"/>
      <c r="H14" s="100"/>
      <c r="I14" s="100"/>
      <c r="J14" s="100"/>
      <c r="K14" s="100"/>
      <c r="L14" s="100"/>
    </row>
    <row r="15" spans="1:13" s="86" customFormat="1" x14ac:dyDescent="0.3">
      <c r="A15" s="90">
        <v>3</v>
      </c>
      <c r="B15" s="101" t="s">
        <v>65</v>
      </c>
      <c r="C15" s="100"/>
      <c r="D15" s="103"/>
      <c r="E15" s="104"/>
      <c r="F15" s="104"/>
      <c r="G15" s="104"/>
      <c r="H15" s="104"/>
      <c r="I15" s="104"/>
      <c r="J15" s="104"/>
      <c r="K15" s="104"/>
      <c r="L15" s="103"/>
    </row>
    <row r="16" spans="1:13" s="86" customFormat="1" x14ac:dyDescent="0.3">
      <c r="A16" s="90">
        <v>4</v>
      </c>
      <c r="B16" s="89" t="s">
        <v>64</v>
      </c>
      <c r="C16" s="100"/>
      <c r="D16" s="103"/>
      <c r="E16" s="104"/>
      <c r="F16" s="104"/>
      <c r="G16" s="104"/>
      <c r="H16" s="104"/>
      <c r="I16" s="104"/>
      <c r="J16" s="104"/>
      <c r="K16" s="104"/>
      <c r="L16" s="103"/>
    </row>
    <row r="17" spans="1:14" s="86" customFormat="1" x14ac:dyDescent="0.3">
      <c r="A17" s="90">
        <v>5</v>
      </c>
      <c r="B17" s="101" t="s">
        <v>63</v>
      </c>
      <c r="C17" s="100">
        <f t="shared" ref="C17:H17" si="1">SUM(C18:C22)</f>
        <v>15877.4962</v>
      </c>
      <c r="D17" s="100">
        <f>SUM(D18:D22)</f>
        <v>389325.87939432001</v>
      </c>
      <c r="E17" s="100">
        <f t="shared" si="1"/>
        <v>2016.5174249999998</v>
      </c>
      <c r="F17" s="100">
        <f t="shared" si="1"/>
        <v>48982.960843284993</v>
      </c>
      <c r="G17" s="100">
        <f t="shared" si="1"/>
        <v>1787.6879700000002</v>
      </c>
      <c r="H17" s="100">
        <f t="shared" si="1"/>
        <v>47464.186767000007</v>
      </c>
      <c r="I17" s="100">
        <f>I18+I19+I20+I22+I21</f>
        <v>789.03078000000005</v>
      </c>
      <c r="J17" s="100">
        <f>J18+J19+J20+J22+J21</f>
        <v>19999.756912999997</v>
      </c>
      <c r="K17" s="100">
        <f>K18+K19+K20+K22+K21</f>
        <v>16106.325655000001</v>
      </c>
      <c r="L17" s="100">
        <f>L18+L19+L20+L22+L21</f>
        <v>390844.65347060503</v>
      </c>
    </row>
    <row r="18" spans="1:14" s="86" customFormat="1" x14ac:dyDescent="0.3">
      <c r="A18" s="90"/>
      <c r="B18" s="98" t="s">
        <v>62</v>
      </c>
      <c r="C18" s="93">
        <f>'1.01'!E13/1000</f>
        <v>2205.38373</v>
      </c>
      <c r="D18" s="93">
        <f>'1.01'!F13/1000000</f>
        <v>53553.333115589994</v>
      </c>
      <c r="E18" s="95"/>
      <c r="F18" s="95"/>
      <c r="G18" s="95">
        <f>'1.01'!Y13/1000</f>
        <v>185.43974</v>
      </c>
      <c r="H18" s="95">
        <f>'1.01'!Z13/1000000</f>
        <v>6519.8665039999996</v>
      </c>
      <c r="I18" s="99">
        <f>'1.01'!AA13/1000</f>
        <v>41.396999999999998</v>
      </c>
      <c r="J18" s="99">
        <f>'1.01'!AB13/1000000</f>
        <v>1070</v>
      </c>
      <c r="K18" s="94">
        <f>C18+E18-G18</f>
        <v>2019.94399</v>
      </c>
      <c r="L18" s="93">
        <f>D18+F18-H18</f>
        <v>47033.466611589996</v>
      </c>
      <c r="M18" s="86">
        <f>H18/G18</f>
        <v>35.158949769882121</v>
      </c>
      <c r="N18" s="86">
        <f>J18/I18</f>
        <v>25.847283619585962</v>
      </c>
    </row>
    <row r="19" spans="1:14" s="81" customFormat="1" ht="36" x14ac:dyDescent="0.3">
      <c r="A19" s="97"/>
      <c r="B19" s="98" t="s">
        <v>61</v>
      </c>
      <c r="C19" s="93"/>
      <c r="D19" s="93">
        <f>'1.01'!F12/1000000</f>
        <v>3772.6391697199992</v>
      </c>
      <c r="E19" s="95"/>
      <c r="F19" s="95"/>
      <c r="G19" s="95"/>
      <c r="H19" s="95">
        <f>'1.01'!Z12/1000000</f>
        <v>838.36425999999994</v>
      </c>
      <c r="I19" s="94"/>
      <c r="J19" s="93"/>
      <c r="K19" s="94">
        <f t="shared" ref="K19:L22" si="2">C19+E19-G19</f>
        <v>0</v>
      </c>
      <c r="L19" s="93">
        <f t="shared" si="2"/>
        <v>2934.2749097199994</v>
      </c>
      <c r="M19" s="86"/>
      <c r="N19" s="86"/>
    </row>
    <row r="20" spans="1:14" s="81" customFormat="1" ht="36" x14ac:dyDescent="0.3">
      <c r="A20" s="97"/>
      <c r="B20" s="98" t="s">
        <v>60</v>
      </c>
      <c r="C20" s="93">
        <f>'1.01'!E16/1000</f>
        <v>13311.64184</v>
      </c>
      <c r="D20" s="93">
        <f>'1.01'!F16/1000000</f>
        <v>323246.59880072001</v>
      </c>
      <c r="E20" s="95">
        <f>'1.01'!G16/1000</f>
        <v>1936.9171299999998</v>
      </c>
      <c r="F20" s="95">
        <f>'1.01'!H16/1000000</f>
        <v>47050.026879799996</v>
      </c>
      <c r="G20" s="95">
        <f>'1.01'!Y16/1000</f>
        <v>1529.3489500000001</v>
      </c>
      <c r="H20" s="95">
        <f>'1.01'!Z16/1000000</f>
        <v>38251.176009000003</v>
      </c>
      <c r="I20" s="94">
        <f>('1.01'!AA16+'1.01'!AC16)/1000</f>
        <v>737.21238000000005</v>
      </c>
      <c r="J20" s="94">
        <f>('1.01'!AB16+'1.01'!AD16)/1000000</f>
        <v>18650.250789999998</v>
      </c>
      <c r="K20" s="94">
        <f t="shared" si="2"/>
        <v>13719.21002</v>
      </c>
      <c r="L20" s="93">
        <f t="shared" si="2"/>
        <v>332045.44967152004</v>
      </c>
      <c r="M20" s="86">
        <f t="shared" ref="M19:M22" si="3">H20/G20</f>
        <v>25.01141156110906</v>
      </c>
      <c r="N20" s="86">
        <f t="shared" ref="N19:N22" si="4">J20/I20</f>
        <v>25.298341829256852</v>
      </c>
    </row>
    <row r="21" spans="1:14" s="81" customFormat="1" ht="36" x14ac:dyDescent="0.3">
      <c r="A21" s="97"/>
      <c r="B21" s="98" t="s">
        <v>59</v>
      </c>
      <c r="C21" s="93">
        <f>'1.01'!E14/1000</f>
        <v>179.33419499999999</v>
      </c>
      <c r="D21" s="93">
        <f>'1.01'!F14/1000000</f>
        <v>4354.7722571850009</v>
      </c>
      <c r="E21" s="95">
        <f>'1.01'!G14/1000</f>
        <v>79.600295000000003</v>
      </c>
      <c r="F21" s="95">
        <f>'1.01'!H14/1000000</f>
        <v>1932.9339634849998</v>
      </c>
      <c r="G21" s="95">
        <f>'1.01'!Y14/1000</f>
        <v>63.842460000000003</v>
      </c>
      <c r="H21" s="95">
        <f>'1.01'!Z14/1000000</f>
        <v>1625.618753</v>
      </c>
      <c r="I21" s="95">
        <f>('1.01'!AA14+'1.01'!AC14+'1.01'!AE14)/1000</f>
        <v>6.0540000000000003</v>
      </c>
      <c r="J21" s="95">
        <f>('1.01'!AB14+'1.01'!AD14+'1.01'!AF14)/1000000</f>
        <v>159.506123</v>
      </c>
      <c r="K21" s="94">
        <f t="shared" si="2"/>
        <v>195.09202999999997</v>
      </c>
      <c r="L21" s="93">
        <f t="shared" si="2"/>
        <v>4662.0874676700014</v>
      </c>
      <c r="M21" s="86">
        <f t="shared" si="3"/>
        <v>25.462971711929644</v>
      </c>
      <c r="N21" s="86">
        <f t="shared" si="4"/>
        <v>26.347228774364055</v>
      </c>
    </row>
    <row r="22" spans="1:14" s="81" customFormat="1" ht="54" x14ac:dyDescent="0.3">
      <c r="A22" s="97"/>
      <c r="B22" s="96" t="s">
        <v>58</v>
      </c>
      <c r="C22" s="93">
        <f>'1.01'!E15/1000</f>
        <v>181.13643500000001</v>
      </c>
      <c r="D22" s="93">
        <f>'1.01'!F15/1000000</f>
        <v>4398.5360511049994</v>
      </c>
      <c r="E22" s="95"/>
      <c r="F22" s="95">
        <v>0</v>
      </c>
      <c r="G22" s="95">
        <f>'1.01'!Y15/1000</f>
        <v>9.0568200000000001</v>
      </c>
      <c r="H22" s="95">
        <f>'1.01'!Z15/1000000</f>
        <v>229.16124099999999</v>
      </c>
      <c r="I22" s="94">
        <f>('1.01'!AA15+'1.01'!AE15)/1000</f>
        <v>4.3673999999999999</v>
      </c>
      <c r="J22" s="94">
        <f>('1.01'!AB15+'1.01'!AF15)/1000000</f>
        <v>120</v>
      </c>
      <c r="K22" s="94">
        <f t="shared" si="2"/>
        <v>172.07961500000002</v>
      </c>
      <c r="L22" s="93">
        <f t="shared" si="2"/>
        <v>4169.3748101049996</v>
      </c>
      <c r="M22" s="86">
        <f t="shared" si="3"/>
        <v>25.302616260453448</v>
      </c>
      <c r="N22" s="86">
        <f t="shared" si="4"/>
        <v>27.476301689792553</v>
      </c>
    </row>
    <row r="23" spans="1:14" s="86" customFormat="1" x14ac:dyDescent="0.3">
      <c r="A23" s="90">
        <v>6</v>
      </c>
      <c r="B23" s="89" t="s">
        <v>57</v>
      </c>
      <c r="C23" s="87"/>
      <c r="D23" s="88">
        <f>D24</f>
        <v>14432</v>
      </c>
      <c r="E23" s="88"/>
      <c r="F23" s="88"/>
      <c r="G23" s="88"/>
      <c r="H23" s="87">
        <f>H24</f>
        <v>2882</v>
      </c>
      <c r="I23" s="88"/>
      <c r="J23" s="88"/>
      <c r="K23" s="88"/>
      <c r="L23" s="88">
        <f>L24</f>
        <v>11550</v>
      </c>
    </row>
    <row r="24" spans="1:14" s="81" customFormat="1" ht="36" x14ac:dyDescent="0.3">
      <c r="A24" s="85"/>
      <c r="B24" s="84" t="s">
        <v>56</v>
      </c>
      <c r="C24" s="82"/>
      <c r="D24" s="82">
        <f>2882+11550</f>
        <v>14432</v>
      </c>
      <c r="E24" s="83"/>
      <c r="F24" s="83"/>
      <c r="G24" s="83"/>
      <c r="H24" s="82">
        <v>2882</v>
      </c>
      <c r="I24" s="83"/>
      <c r="J24" s="83"/>
      <c r="K24" s="83"/>
      <c r="L24" s="82">
        <f>D24+E24-H24</f>
        <v>11550</v>
      </c>
    </row>
    <row r="26" spans="1:14" s="123" customFormat="1" x14ac:dyDescent="0.35">
      <c r="A26" s="123" t="s">
        <v>32</v>
      </c>
    </row>
    <row r="27" spans="1:14" x14ac:dyDescent="0.35">
      <c r="A27" s="23" t="s">
        <v>92</v>
      </c>
    </row>
    <row r="28" spans="1:14" x14ac:dyDescent="0.35">
      <c r="A28" s="124" t="s">
        <v>51</v>
      </c>
    </row>
    <row r="29" spans="1:14" ht="37.799999999999997" customHeight="1" x14ac:dyDescent="0.35">
      <c r="A29" s="179" t="s">
        <v>95</v>
      </c>
      <c r="B29" s="179"/>
      <c r="C29" s="179"/>
      <c r="D29" s="179"/>
      <c r="E29" s="179"/>
      <c r="F29" s="179"/>
      <c r="G29" s="179"/>
      <c r="H29" s="179"/>
      <c r="I29" s="179"/>
      <c r="J29" s="179"/>
      <c r="K29" s="179"/>
      <c r="L29" s="179"/>
    </row>
  </sheetData>
  <mergeCells count="13">
    <mergeCell ref="A29:L29"/>
    <mergeCell ref="G10:H10"/>
    <mergeCell ref="I10:J10"/>
    <mergeCell ref="J1:L1"/>
    <mergeCell ref="A4:L4"/>
    <mergeCell ref="A5:L5"/>
    <mergeCell ref="A8:A11"/>
    <mergeCell ref="B8:B11"/>
    <mergeCell ref="C8:D10"/>
    <mergeCell ref="E8:L8"/>
    <mergeCell ref="E9:F10"/>
    <mergeCell ref="G9:J9"/>
    <mergeCell ref="K9:L10"/>
  </mergeCells>
  <printOptions horizontalCentered="1"/>
  <pageMargins left="0.44" right="0.19685039370078741" top="0.36" bottom="0.24" header="0.19685039370078741" footer="0.2"/>
  <pageSetup paperSize="9" scale="64" fitToHeight="0" orientation="landscape" r:id="rId1"/>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F55F0-1992-4395-A3CA-706CF37434AA}">
  <sheetPr>
    <tabColor rgb="FF00B050"/>
    <pageSetUpPr fitToPage="1"/>
  </sheetPr>
  <dimension ref="A1:I23"/>
  <sheetViews>
    <sheetView zoomScale="70" zoomScaleNormal="70" workbookViewId="0">
      <pane xSplit="2" ySplit="10" topLeftCell="C11" activePane="bottomRight" state="frozen"/>
      <selection pane="topRight" activeCell="G1" sqref="G1"/>
      <selection pane="bottomLeft" activeCell="A11" sqref="A11"/>
      <selection pane="bottomRight" activeCell="A6" sqref="A6"/>
    </sheetView>
  </sheetViews>
  <sheetFormatPr defaultColWidth="9.109375" defaultRowHeight="18" x14ac:dyDescent="0.35"/>
  <cols>
    <col min="1" max="1" width="7.5546875" style="80" customWidth="1"/>
    <col min="2" max="2" width="55.109375" style="80" customWidth="1"/>
    <col min="3" max="3" width="15.44140625" style="80" customWidth="1"/>
    <col min="4" max="4" width="12.6640625" style="80" customWidth="1"/>
    <col min="5" max="5" width="13.88671875" style="80" customWidth="1"/>
    <col min="6" max="6" width="13.44140625" style="80" customWidth="1"/>
    <col min="7" max="7" width="15.88671875" style="80" customWidth="1"/>
    <col min="8" max="8" width="13.5546875" style="80" customWidth="1"/>
    <col min="9" max="9" width="12.44140625" style="80" customWidth="1"/>
    <col min="10" max="10" width="11.6640625" style="80" bestFit="1" customWidth="1"/>
    <col min="11" max="11" width="12.88671875" style="80" customWidth="1"/>
    <col min="12" max="12" width="11.5546875" style="80" customWidth="1"/>
    <col min="13" max="16384" width="9.109375" style="80"/>
  </cols>
  <sheetData>
    <row r="1" spans="1:8" x14ac:dyDescent="0.35">
      <c r="A1" s="119" t="s">
        <v>43</v>
      </c>
      <c r="G1" s="118" t="s">
        <v>77</v>
      </c>
    </row>
    <row r="2" spans="1:8" x14ac:dyDescent="0.35">
      <c r="A2" s="117" t="s">
        <v>44</v>
      </c>
      <c r="B2" s="116"/>
    </row>
    <row r="3" spans="1:8" x14ac:dyDescent="0.35">
      <c r="A3" s="116"/>
      <c r="B3" s="116"/>
    </row>
    <row r="4" spans="1:8" x14ac:dyDescent="0.35">
      <c r="A4" s="129" t="s">
        <v>76</v>
      </c>
      <c r="B4" s="129"/>
      <c r="C4" s="129"/>
      <c r="D4" s="129"/>
      <c r="E4" s="129"/>
      <c r="F4" s="129"/>
      <c r="G4" s="129"/>
    </row>
    <row r="5" spans="1:8" x14ac:dyDescent="0.35">
      <c r="A5" s="130" t="s">
        <v>87</v>
      </c>
      <c r="B5" s="130"/>
      <c r="C5" s="130"/>
      <c r="D5" s="130"/>
      <c r="E5" s="130"/>
      <c r="F5" s="130"/>
      <c r="G5" s="130"/>
    </row>
    <row r="6" spans="1:8" x14ac:dyDescent="0.35">
      <c r="A6" s="115"/>
      <c r="B6" s="115"/>
      <c r="C6" s="115"/>
      <c r="D6" s="115"/>
      <c r="E6" s="115"/>
      <c r="F6" s="115"/>
      <c r="G6" s="115"/>
    </row>
    <row r="7" spans="1:8" x14ac:dyDescent="0.35">
      <c r="A7" s="115"/>
      <c r="B7" s="115"/>
      <c r="D7" s="114"/>
      <c r="F7" s="113" t="s">
        <v>75</v>
      </c>
    </row>
    <row r="8" spans="1:8" ht="18.75" customHeight="1" x14ac:dyDescent="0.35">
      <c r="A8" s="131" t="s">
        <v>1</v>
      </c>
      <c r="B8" s="131" t="s">
        <v>74</v>
      </c>
      <c r="C8" s="131" t="s">
        <v>73</v>
      </c>
      <c r="D8" s="142" t="s">
        <v>80</v>
      </c>
      <c r="E8" s="143"/>
      <c r="F8" s="143"/>
      <c r="G8" s="144"/>
    </row>
    <row r="9" spans="1:8" ht="30" customHeight="1" x14ac:dyDescent="0.35">
      <c r="A9" s="132"/>
      <c r="B9" s="132"/>
      <c r="C9" s="132"/>
      <c r="D9" s="131" t="s">
        <v>72</v>
      </c>
      <c r="E9" s="126" t="s">
        <v>71</v>
      </c>
      <c r="F9" s="127"/>
      <c r="G9" s="131" t="s">
        <v>84</v>
      </c>
    </row>
    <row r="10" spans="1:8" ht="29.25" customHeight="1" x14ac:dyDescent="0.35">
      <c r="A10" s="133"/>
      <c r="B10" s="133"/>
      <c r="C10" s="133"/>
      <c r="D10" s="133"/>
      <c r="E10" s="112" t="s">
        <v>70</v>
      </c>
      <c r="F10" s="112" t="s">
        <v>69</v>
      </c>
      <c r="G10" s="133"/>
    </row>
    <row r="11" spans="1:8" s="105" customFormat="1" x14ac:dyDescent="0.3">
      <c r="A11" s="111"/>
      <c r="B11" s="110" t="s">
        <v>68</v>
      </c>
      <c r="C11" s="108">
        <f>C12+C13+C14+C15+C16+C22</f>
        <v>386946</v>
      </c>
      <c r="D11" s="108">
        <f>D12+D13+D14+D15+D16+D22</f>
        <v>39954</v>
      </c>
      <c r="E11" s="108">
        <f>E12+E13+E14+E15+E16+E22</f>
        <v>50346</v>
      </c>
      <c r="F11" s="108">
        <f>F12+F13+F14+F15+F16+F22</f>
        <v>20000</v>
      </c>
      <c r="G11" s="107">
        <f>C11+D11-E11</f>
        <v>376554</v>
      </c>
      <c r="H11" s="106"/>
    </row>
    <row r="12" spans="1:8" s="86" customFormat="1" x14ac:dyDescent="0.3">
      <c r="A12" s="90">
        <v>1</v>
      </c>
      <c r="B12" s="89" t="s">
        <v>67</v>
      </c>
      <c r="C12" s="100"/>
      <c r="D12" s="100"/>
      <c r="E12" s="100"/>
      <c r="F12" s="100"/>
      <c r="G12" s="100"/>
    </row>
    <row r="13" spans="1:8" s="86" customFormat="1" x14ac:dyDescent="0.3">
      <c r="A13" s="90">
        <v>2</v>
      </c>
      <c r="B13" s="89" t="s">
        <v>66</v>
      </c>
      <c r="C13" s="100"/>
      <c r="D13" s="100"/>
      <c r="E13" s="100"/>
      <c r="F13" s="100"/>
      <c r="G13" s="100"/>
    </row>
    <row r="14" spans="1:8" s="86" customFormat="1" x14ac:dyDescent="0.3">
      <c r="A14" s="90">
        <v>3</v>
      </c>
      <c r="B14" s="101" t="s">
        <v>65</v>
      </c>
      <c r="C14" s="100"/>
      <c r="D14" s="102"/>
      <c r="E14" s="102"/>
      <c r="F14" s="102"/>
      <c r="G14" s="100"/>
    </row>
    <row r="15" spans="1:8" s="86" customFormat="1" x14ac:dyDescent="0.3">
      <c r="A15" s="90">
        <v>4</v>
      </c>
      <c r="B15" s="89" t="s">
        <v>64</v>
      </c>
      <c r="C15" s="100"/>
      <c r="D15" s="102"/>
      <c r="E15" s="102"/>
      <c r="F15" s="102"/>
      <c r="G15" s="100"/>
    </row>
    <row r="16" spans="1:8" s="86" customFormat="1" x14ac:dyDescent="0.3">
      <c r="A16" s="90">
        <v>5</v>
      </c>
      <c r="B16" s="101" t="s">
        <v>63</v>
      </c>
      <c r="C16" s="100">
        <f>SUM(C17:C21)</f>
        <v>372514</v>
      </c>
      <c r="D16" s="100">
        <f>SUM(D17:D21)</f>
        <v>39954</v>
      </c>
      <c r="E16" s="100">
        <f>SUM(E17:E21)</f>
        <v>47464</v>
      </c>
      <c r="F16" s="100">
        <f>SUM(F17:F21)</f>
        <v>20000</v>
      </c>
      <c r="G16" s="100">
        <f>SUM(G17:G21)</f>
        <v>365004</v>
      </c>
    </row>
    <row r="17" spans="1:9" s="86" customFormat="1" x14ac:dyDescent="0.3">
      <c r="A17" s="90"/>
      <c r="B17" s="98" t="s">
        <v>62</v>
      </c>
      <c r="C17" s="93">
        <v>50158</v>
      </c>
      <c r="D17" s="95"/>
      <c r="E17" s="99">
        <v>6520</v>
      </c>
      <c r="F17" s="93">
        <v>1070</v>
      </c>
      <c r="G17" s="93">
        <f>C17+D17-E17</f>
        <v>43638</v>
      </c>
    </row>
    <row r="18" spans="1:9" s="81" customFormat="1" ht="36" x14ac:dyDescent="0.3">
      <c r="A18" s="97"/>
      <c r="B18" s="98" t="s">
        <v>61</v>
      </c>
      <c r="C18" s="93">
        <v>3773</v>
      </c>
      <c r="D18" s="95"/>
      <c r="E18" s="94">
        <v>838</v>
      </c>
      <c r="F18" s="93"/>
      <c r="G18" s="93">
        <f>C18+D18-E18</f>
        <v>2935</v>
      </c>
    </row>
    <row r="19" spans="1:9" s="81" customFormat="1" ht="36" x14ac:dyDescent="0.3">
      <c r="A19" s="97"/>
      <c r="B19" s="98" t="s">
        <v>60</v>
      </c>
      <c r="C19" s="93">
        <v>308319</v>
      </c>
      <c r="D19" s="95">
        <v>39954</v>
      </c>
      <c r="E19" s="94">
        <v>38251</v>
      </c>
      <c r="F19" s="93">
        <v>18650</v>
      </c>
      <c r="G19" s="93">
        <f>C19+D19-E19</f>
        <v>310022</v>
      </c>
    </row>
    <row r="20" spans="1:9" s="81" customFormat="1" ht="36" x14ac:dyDescent="0.3">
      <c r="A20" s="97"/>
      <c r="B20" s="98" t="s">
        <v>59</v>
      </c>
      <c r="C20" s="93">
        <v>6030</v>
      </c>
      <c r="D20" s="95"/>
      <c r="E20" s="95">
        <v>1626</v>
      </c>
      <c r="F20" s="93">
        <v>160</v>
      </c>
      <c r="G20" s="93">
        <f>C20+D20-E20</f>
        <v>4404</v>
      </c>
    </row>
    <row r="21" spans="1:9" s="81" customFormat="1" ht="54" x14ac:dyDescent="0.3">
      <c r="A21" s="97"/>
      <c r="B21" s="96" t="s">
        <v>58</v>
      </c>
      <c r="C21" s="93">
        <v>4234</v>
      </c>
      <c r="D21" s="95"/>
      <c r="E21" s="94">
        <v>229</v>
      </c>
      <c r="F21" s="93">
        <v>120</v>
      </c>
      <c r="G21" s="93">
        <f>C21+D21-E21</f>
        <v>4005</v>
      </c>
      <c r="H21" s="92"/>
      <c r="I21" s="91"/>
    </row>
    <row r="22" spans="1:9" s="86" customFormat="1" x14ac:dyDescent="0.3">
      <c r="A22" s="90">
        <v>6</v>
      </c>
      <c r="B22" s="89" t="s">
        <v>57</v>
      </c>
      <c r="C22" s="88">
        <f>C23</f>
        <v>14432</v>
      </c>
      <c r="D22" s="87"/>
      <c r="E22" s="87">
        <f>E23</f>
        <v>2882</v>
      </c>
      <c r="F22" s="87"/>
      <c r="G22" s="87">
        <f>G23</f>
        <v>11550</v>
      </c>
    </row>
    <row r="23" spans="1:9" s="81" customFormat="1" ht="36" x14ac:dyDescent="0.3">
      <c r="A23" s="85"/>
      <c r="B23" s="84" t="s">
        <v>56</v>
      </c>
      <c r="C23" s="82">
        <f>2882+11550</f>
        <v>14432</v>
      </c>
      <c r="D23" s="82"/>
      <c r="E23" s="82">
        <v>2882</v>
      </c>
      <c r="F23" s="82"/>
      <c r="G23" s="82">
        <f>C23+D23-E23</f>
        <v>11550</v>
      </c>
    </row>
  </sheetData>
  <mergeCells count="9">
    <mergeCell ref="A4:G4"/>
    <mergeCell ref="A5:G5"/>
    <mergeCell ref="A8:A10"/>
    <mergeCell ref="B8:B10"/>
    <mergeCell ref="C8:C10"/>
    <mergeCell ref="D8:G8"/>
    <mergeCell ref="D9:D10"/>
    <mergeCell ref="E9:F9"/>
    <mergeCell ref="G9:G10"/>
  </mergeCells>
  <printOptions horizontalCentered="1"/>
  <pageMargins left="0.44" right="0.19685039370078741" top="0.36" bottom="0.24" header="0.19685039370078741" footer="0.2"/>
  <pageSetup paperSize="9" fitToHeight="0" orientation="landscape" r:id="rId1"/>
  <colBreaks count="1" manualBreakCount="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27"/>
  <sheetViews>
    <sheetView zoomScale="55" zoomScaleNormal="55" zoomScaleSheetLayoutView="85" workbookViewId="0">
      <pane xSplit="2" ySplit="11" topLeftCell="C12" activePane="bottomRight" state="frozen"/>
      <selection pane="topRight" activeCell="C1" sqref="C1"/>
      <selection pane="bottomLeft" activeCell="A10" sqref="A10"/>
      <selection pane="bottomRight" activeCell="A25" sqref="A25"/>
    </sheetView>
  </sheetViews>
  <sheetFormatPr defaultColWidth="9.109375" defaultRowHeight="13.8" x14ac:dyDescent="0.25"/>
  <cols>
    <col min="1" max="1" width="6.44140625" style="20" customWidth="1"/>
    <col min="2" max="2" width="29.33203125" style="20" customWidth="1"/>
    <col min="3" max="3" width="14.6640625" style="20" customWidth="1"/>
    <col min="4" max="4" width="8.5546875" style="20" customWidth="1"/>
    <col min="5" max="5" width="19.33203125" style="45" customWidth="1"/>
    <col min="6" max="6" width="23" style="20" customWidth="1"/>
    <col min="7" max="7" width="18.109375" style="45" customWidth="1"/>
    <col min="8" max="8" width="23" style="20" bestFit="1" customWidth="1"/>
    <col min="9" max="24" width="22.6640625" style="20" hidden="1" customWidth="1"/>
    <col min="25" max="25" width="16.33203125" style="45" customWidth="1"/>
    <col min="26" max="26" width="18.6640625" style="20" customWidth="1"/>
    <col min="27" max="27" width="14" style="45" customWidth="1"/>
    <col min="28" max="28" width="20.44140625" style="20" customWidth="1"/>
    <col min="29" max="29" width="9.33203125" style="20" bestFit="1" customWidth="1"/>
    <col min="30" max="30" width="15.6640625" style="20" bestFit="1" customWidth="1"/>
    <col min="31" max="31" width="7.33203125" style="20" customWidth="1"/>
    <col min="32" max="32" width="14.44140625" style="20" bestFit="1" customWidth="1"/>
    <col min="33" max="33" width="12.88671875" style="20" bestFit="1" customWidth="1"/>
    <col min="34" max="34" width="19.88671875" style="20" customWidth="1"/>
    <col min="35" max="35" width="15.109375" style="20" customWidth="1"/>
    <col min="36" max="36" width="20.6640625" style="20" customWidth="1"/>
    <col min="37" max="37" width="6.44140625" style="20" customWidth="1"/>
    <col min="38" max="38" width="5.33203125" style="20" customWidth="1"/>
    <col min="39" max="39" width="9.44140625" style="20" customWidth="1"/>
    <col min="40" max="40" width="8.6640625" style="20" customWidth="1"/>
    <col min="41" max="41" width="6.44140625" style="20" customWidth="1"/>
    <col min="42" max="42" width="18.88671875" style="20" customWidth="1"/>
    <col min="43" max="16384" width="9.109375" style="20"/>
  </cols>
  <sheetData>
    <row r="1" spans="1:42" ht="15" customHeight="1" x14ac:dyDescent="0.25">
      <c r="A1" s="20" t="s">
        <v>43</v>
      </c>
      <c r="B1" s="21"/>
      <c r="AN1" s="57" t="s">
        <v>54</v>
      </c>
      <c r="AO1" s="57"/>
    </row>
    <row r="2" spans="1:42" x14ac:dyDescent="0.25">
      <c r="A2" s="21" t="s">
        <v>44</v>
      </c>
      <c r="AD2" s="74"/>
    </row>
    <row r="3" spans="1:42" x14ac:dyDescent="0.25">
      <c r="AF3" s="74"/>
    </row>
    <row r="4" spans="1:42" ht="17.399999999999999" x14ac:dyDescent="0.3">
      <c r="A4" s="167" t="s">
        <v>0</v>
      </c>
      <c r="B4" s="167"/>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167"/>
      <c r="AK4" s="167"/>
      <c r="AL4" s="167"/>
      <c r="AM4" s="167"/>
      <c r="AN4" s="167"/>
      <c r="AO4" s="167"/>
    </row>
    <row r="5" spans="1:42" x14ac:dyDescent="0.25">
      <c r="A5" s="168" t="s">
        <v>88</v>
      </c>
      <c r="B5" s="168"/>
      <c r="C5" s="168"/>
      <c r="D5" s="168"/>
      <c r="E5" s="168"/>
      <c r="F5" s="168"/>
      <c r="G5" s="168"/>
      <c r="H5" s="168"/>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8"/>
      <c r="AL5" s="168"/>
      <c r="AM5" s="168"/>
      <c r="AN5" s="168"/>
      <c r="AO5" s="168"/>
    </row>
    <row r="6" spans="1:42" ht="15.6" x14ac:dyDescent="0.25">
      <c r="A6" s="172" t="s">
        <v>89</v>
      </c>
      <c r="B6" s="172"/>
      <c r="C6" s="172"/>
      <c r="D6" s="172"/>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2"/>
      <c r="AK6" s="172"/>
      <c r="AL6" s="172"/>
      <c r="AM6" s="172"/>
      <c r="AN6" s="172"/>
      <c r="AO6" s="172"/>
    </row>
    <row r="7" spans="1:42" hidden="1" x14ac:dyDescent="0.25">
      <c r="E7" s="45" t="s">
        <v>40</v>
      </c>
      <c r="G7" s="173" t="s">
        <v>41</v>
      </c>
      <c r="H7" s="173"/>
      <c r="I7" s="66"/>
      <c r="J7" s="66"/>
      <c r="K7" s="66"/>
      <c r="L7" s="66"/>
      <c r="M7" s="66"/>
      <c r="N7" s="66"/>
      <c r="O7" s="66"/>
      <c r="P7" s="66"/>
      <c r="Q7" s="66"/>
      <c r="R7" s="66"/>
      <c r="S7" s="66"/>
      <c r="T7" s="66"/>
      <c r="U7" s="66"/>
      <c r="V7" s="66"/>
      <c r="W7" s="66"/>
      <c r="X7" s="66"/>
      <c r="Y7" s="46"/>
    </row>
    <row r="8" spans="1:42" x14ac:dyDescent="0.25">
      <c r="G8" s="54"/>
      <c r="H8" s="22"/>
      <c r="I8" s="66"/>
      <c r="J8" s="66"/>
      <c r="K8" s="66"/>
      <c r="L8" s="66"/>
      <c r="M8" s="66"/>
      <c r="N8" s="66"/>
      <c r="O8" s="66"/>
      <c r="P8" s="66"/>
      <c r="Q8" s="66"/>
      <c r="R8" s="66"/>
      <c r="S8" s="66"/>
      <c r="T8" s="66"/>
      <c r="U8" s="66"/>
      <c r="V8" s="66"/>
      <c r="W8" s="66"/>
      <c r="X8" s="66"/>
      <c r="Y8" s="46"/>
    </row>
    <row r="9" spans="1:42" ht="33.75" customHeight="1" x14ac:dyDescent="0.25">
      <c r="A9" s="169" t="s">
        <v>1</v>
      </c>
      <c r="B9" s="145" t="s">
        <v>2</v>
      </c>
      <c r="C9" s="145" t="s">
        <v>3</v>
      </c>
      <c r="D9" s="145" t="s">
        <v>4</v>
      </c>
      <c r="E9" s="161" t="s">
        <v>5</v>
      </c>
      <c r="F9" s="163"/>
      <c r="G9" s="161" t="s">
        <v>7</v>
      </c>
      <c r="H9" s="163"/>
      <c r="I9" s="158" t="s">
        <v>86</v>
      </c>
      <c r="J9" s="159"/>
      <c r="K9" s="159"/>
      <c r="L9" s="159"/>
      <c r="M9" s="159"/>
      <c r="N9" s="159"/>
      <c r="O9" s="159"/>
      <c r="P9" s="159"/>
      <c r="Q9" s="159"/>
      <c r="R9" s="159"/>
      <c r="S9" s="159"/>
      <c r="T9" s="159"/>
      <c r="U9" s="159"/>
      <c r="V9" s="159"/>
      <c r="W9" s="159"/>
      <c r="X9" s="160"/>
      <c r="Y9" s="145" t="s">
        <v>26</v>
      </c>
      <c r="Z9" s="145"/>
      <c r="AA9" s="145"/>
      <c r="AB9" s="145"/>
      <c r="AC9" s="145"/>
      <c r="AD9" s="145"/>
      <c r="AE9" s="145"/>
      <c r="AF9" s="145"/>
      <c r="AG9" s="145"/>
      <c r="AH9" s="145"/>
      <c r="AI9" s="161" t="s">
        <v>13</v>
      </c>
      <c r="AJ9" s="163"/>
      <c r="AK9" s="161" t="s">
        <v>15</v>
      </c>
      <c r="AL9" s="162"/>
      <c r="AM9" s="162"/>
      <c r="AN9" s="162"/>
      <c r="AO9" s="163"/>
    </row>
    <row r="10" spans="1:42" ht="33.75" customHeight="1" x14ac:dyDescent="0.25">
      <c r="A10" s="170"/>
      <c r="B10" s="145"/>
      <c r="C10" s="145"/>
      <c r="D10" s="145"/>
      <c r="E10" s="164"/>
      <c r="F10" s="166"/>
      <c r="G10" s="164"/>
      <c r="H10" s="166"/>
      <c r="I10" s="145" t="s">
        <v>46</v>
      </c>
      <c r="J10" s="145"/>
      <c r="K10" s="145" t="s">
        <v>47</v>
      </c>
      <c r="L10" s="145"/>
      <c r="M10" s="145" t="s">
        <v>90</v>
      </c>
      <c r="N10" s="145"/>
      <c r="O10" s="145" t="s">
        <v>48</v>
      </c>
      <c r="P10" s="145"/>
      <c r="Q10" s="145" t="s">
        <v>49</v>
      </c>
      <c r="R10" s="145"/>
      <c r="S10" s="145" t="s">
        <v>50</v>
      </c>
      <c r="T10" s="145"/>
      <c r="U10" s="145" t="s">
        <v>85</v>
      </c>
      <c r="V10" s="145"/>
      <c r="W10" s="145" t="s">
        <v>91</v>
      </c>
      <c r="X10" s="145"/>
      <c r="Y10" s="145" t="s">
        <v>8</v>
      </c>
      <c r="Z10" s="145"/>
      <c r="AA10" s="145" t="s">
        <v>9</v>
      </c>
      <c r="AB10" s="145"/>
      <c r="AC10" s="145" t="s">
        <v>10</v>
      </c>
      <c r="AD10" s="145"/>
      <c r="AE10" s="145" t="s">
        <v>11</v>
      </c>
      <c r="AF10" s="145"/>
      <c r="AG10" s="145" t="s">
        <v>12</v>
      </c>
      <c r="AH10" s="145"/>
      <c r="AI10" s="164"/>
      <c r="AJ10" s="166"/>
      <c r="AK10" s="164"/>
      <c r="AL10" s="165"/>
      <c r="AM10" s="165"/>
      <c r="AN10" s="165"/>
      <c r="AO10" s="166"/>
    </row>
    <row r="11" spans="1:42" ht="57" customHeight="1" x14ac:dyDescent="0.25">
      <c r="A11" s="171"/>
      <c r="B11" s="145"/>
      <c r="C11" s="145"/>
      <c r="D11" s="145"/>
      <c r="E11" s="47" t="s">
        <v>21</v>
      </c>
      <c r="F11" s="35" t="s">
        <v>33</v>
      </c>
      <c r="G11" s="47" t="s">
        <v>21</v>
      </c>
      <c r="H11" s="35" t="s">
        <v>33</v>
      </c>
      <c r="I11" s="47" t="s">
        <v>21</v>
      </c>
      <c r="J11" s="58" t="s">
        <v>33</v>
      </c>
      <c r="K11" s="47" t="s">
        <v>21</v>
      </c>
      <c r="L11" s="58" t="s">
        <v>33</v>
      </c>
      <c r="M11" s="47" t="s">
        <v>21</v>
      </c>
      <c r="N11" s="125" t="s">
        <v>33</v>
      </c>
      <c r="O11" s="47" t="s">
        <v>21</v>
      </c>
      <c r="P11" s="58" t="s">
        <v>33</v>
      </c>
      <c r="Q11" s="47" t="s">
        <v>21</v>
      </c>
      <c r="R11" s="58" t="s">
        <v>33</v>
      </c>
      <c r="S11" s="47" t="s">
        <v>21</v>
      </c>
      <c r="T11" s="58" t="s">
        <v>33</v>
      </c>
      <c r="U11" s="47" t="s">
        <v>21</v>
      </c>
      <c r="V11" s="79" t="s">
        <v>33</v>
      </c>
      <c r="W11" s="47" t="s">
        <v>21</v>
      </c>
      <c r="X11" s="125" t="s">
        <v>33</v>
      </c>
      <c r="Y11" s="47" t="s">
        <v>21</v>
      </c>
      <c r="Z11" s="35" t="s">
        <v>42</v>
      </c>
      <c r="AA11" s="47" t="s">
        <v>21</v>
      </c>
      <c r="AB11" s="35" t="s">
        <v>42</v>
      </c>
      <c r="AC11" s="47" t="s">
        <v>21</v>
      </c>
      <c r="AD11" s="35" t="s">
        <v>42</v>
      </c>
      <c r="AE11" s="58" t="s">
        <v>21</v>
      </c>
      <c r="AF11" s="35" t="s">
        <v>42</v>
      </c>
      <c r="AG11" s="35" t="s">
        <v>21</v>
      </c>
      <c r="AH11" s="35" t="s">
        <v>42</v>
      </c>
      <c r="AI11" s="35" t="s">
        <v>21</v>
      </c>
      <c r="AJ11" s="35" t="s">
        <v>33</v>
      </c>
      <c r="AK11" s="35" t="s">
        <v>8</v>
      </c>
      <c r="AL11" s="35" t="s">
        <v>9</v>
      </c>
      <c r="AM11" s="35" t="s">
        <v>10</v>
      </c>
      <c r="AN11" s="35" t="s">
        <v>11</v>
      </c>
      <c r="AO11" s="35" t="s">
        <v>12</v>
      </c>
    </row>
    <row r="12" spans="1:42" s="27" customFormat="1" ht="36" x14ac:dyDescent="0.3">
      <c r="A12" s="24">
        <v>1</v>
      </c>
      <c r="B12" s="25" t="s">
        <v>25</v>
      </c>
      <c r="C12" s="149" t="s">
        <v>23</v>
      </c>
      <c r="D12" s="26"/>
      <c r="E12" s="59"/>
      <c r="F12" s="60">
        <v>3772639169.7199993</v>
      </c>
      <c r="G12" s="48"/>
      <c r="H12" s="26"/>
      <c r="I12" s="26"/>
      <c r="J12" s="26"/>
      <c r="K12" s="26"/>
      <c r="L12" s="26"/>
      <c r="M12" s="26"/>
      <c r="N12" s="26"/>
      <c r="O12" s="26"/>
      <c r="P12" s="26"/>
      <c r="Q12" s="26"/>
      <c r="R12" s="26"/>
      <c r="S12" s="26"/>
      <c r="T12" s="26"/>
      <c r="U12" s="26"/>
      <c r="V12" s="26"/>
      <c r="W12" s="26"/>
      <c r="X12" s="26"/>
      <c r="Y12" s="48"/>
      <c r="Z12" s="26">
        <f>419182130*2</f>
        <v>838364260</v>
      </c>
      <c r="AA12" s="48"/>
      <c r="AB12" s="26"/>
      <c r="AC12" s="26"/>
      <c r="AD12" s="26"/>
      <c r="AE12" s="30"/>
      <c r="AF12" s="26"/>
      <c r="AG12" s="26"/>
      <c r="AH12" s="26">
        <f>AF12+AD12+AB12+Z12</f>
        <v>838364260</v>
      </c>
      <c r="AI12" s="26"/>
      <c r="AJ12" s="30">
        <f>F12+H12-Z12</f>
        <v>2934274909.7199993</v>
      </c>
      <c r="AK12" s="26"/>
      <c r="AL12" s="26"/>
      <c r="AM12" s="26"/>
      <c r="AN12" s="26"/>
      <c r="AO12" s="26"/>
    </row>
    <row r="13" spans="1:42" ht="36" x14ac:dyDescent="0.25">
      <c r="A13" s="28">
        <v>2</v>
      </c>
      <c r="B13" s="41" t="s">
        <v>24</v>
      </c>
      <c r="C13" s="150"/>
      <c r="D13" s="152" t="s">
        <v>21</v>
      </c>
      <c r="E13" s="65">
        <f>2201080.27+4303.46</f>
        <v>2205383.73</v>
      </c>
      <c r="F13" s="62">
        <f>E13*$AB$22</f>
        <v>53553333115.589996</v>
      </c>
      <c r="G13" s="64">
        <f>I13+K13+O13+Q13+S13</f>
        <v>0</v>
      </c>
      <c r="H13" s="30">
        <f>J13+L13+P13+R13+T13</f>
        <v>0</v>
      </c>
      <c r="I13" s="30"/>
      <c r="J13" s="30"/>
      <c r="K13" s="30"/>
      <c r="L13" s="30"/>
      <c r="M13" s="30"/>
      <c r="N13" s="30"/>
      <c r="O13" s="30"/>
      <c r="P13" s="30"/>
      <c r="Q13" s="30"/>
      <c r="R13" s="30"/>
      <c r="S13" s="30"/>
      <c r="T13" s="30"/>
      <c r="U13" s="30"/>
      <c r="V13" s="30"/>
      <c r="W13" s="30"/>
      <c r="X13" s="30"/>
      <c r="Y13" s="49">
        <f>90568.14*2+4303.46</f>
        <v>185439.74</v>
      </c>
      <c r="Z13" s="30">
        <f>3338866504+3181000000</f>
        <v>6519866504</v>
      </c>
      <c r="AA13" s="49">
        <f>20427+20970</f>
        <v>41397</v>
      </c>
      <c r="AB13" s="30">
        <f>520000000+550000000</f>
        <v>1070000000</v>
      </c>
      <c r="AC13" s="30"/>
      <c r="AD13" s="30"/>
      <c r="AE13" s="30"/>
      <c r="AF13" s="30"/>
      <c r="AG13" s="30">
        <f>Y13+AA13+AC13+AE13</f>
        <v>226836.74</v>
      </c>
      <c r="AH13" s="30">
        <f>AF13+AD13+AB13+Z13</f>
        <v>7589866504</v>
      </c>
      <c r="AI13" s="29">
        <f>E13+G13-Y13</f>
        <v>2019943.99</v>
      </c>
      <c r="AJ13" s="30">
        <f>F13+H13-Z13</f>
        <v>47033466611.589996</v>
      </c>
      <c r="AK13" s="30"/>
      <c r="AL13" s="30"/>
      <c r="AM13" s="30"/>
      <c r="AN13" s="30"/>
      <c r="AO13" s="30"/>
      <c r="AP13" s="44"/>
    </row>
    <row r="14" spans="1:42" ht="54" x14ac:dyDescent="0.25">
      <c r="A14" s="28">
        <v>3</v>
      </c>
      <c r="B14" s="41" t="s">
        <v>28</v>
      </c>
      <c r="C14" s="151"/>
      <c r="D14" s="153"/>
      <c r="E14" s="61">
        <v>179334.19500000001</v>
      </c>
      <c r="F14" s="62">
        <f>E14*$AB$22</f>
        <v>4354772257.1850004</v>
      </c>
      <c r="G14" s="49">
        <f>I14+K14+O14+Q14+S14+M14</f>
        <v>79600.294999999998</v>
      </c>
      <c r="H14" s="49">
        <f>J14+L14+P14+R14+T14+N14</f>
        <v>1932933963.4849999</v>
      </c>
      <c r="I14" s="72">
        <f>159400.59/2</f>
        <v>79700.294999999998</v>
      </c>
      <c r="J14" s="30">
        <f>I14*$AB$22</f>
        <v>1935362263.4849999</v>
      </c>
      <c r="K14" s="30"/>
      <c r="L14" s="30"/>
      <c r="M14" s="30">
        <v>-100</v>
      </c>
      <c r="N14" s="30">
        <f>M14*$AB$22</f>
        <v>-2428300</v>
      </c>
      <c r="O14" s="30"/>
      <c r="P14" s="30"/>
      <c r="Q14" s="30"/>
      <c r="R14" s="30"/>
      <c r="S14" s="30"/>
      <c r="T14" s="30"/>
      <c r="U14" s="30"/>
      <c r="V14" s="30"/>
      <c r="W14" s="30"/>
      <c r="X14" s="30"/>
      <c r="Y14" s="49">
        <f>31921.23+31921.23</f>
        <v>63842.46</v>
      </c>
      <c r="Z14" s="30">
        <f>812618753+813000000</f>
        <v>1625618753</v>
      </c>
      <c r="AA14" s="49">
        <f>1735+1628</f>
        <v>3363</v>
      </c>
      <c r="AB14" s="30">
        <f>44170069+45000000</f>
        <v>89170069</v>
      </c>
      <c r="AC14" s="30">
        <f>1041+977</f>
        <v>2018</v>
      </c>
      <c r="AD14" s="30">
        <f>26502041+26000000</f>
        <v>52502041</v>
      </c>
      <c r="AE14" s="30">
        <f>347+326</f>
        <v>673</v>
      </c>
      <c r="AF14" s="30">
        <f>8834013+9000000</f>
        <v>17834013</v>
      </c>
      <c r="AG14" s="30">
        <f>Y14+AA14+AC14+AE14</f>
        <v>69896.459999999992</v>
      </c>
      <c r="AH14" s="30">
        <f>AF14+AD14+AB14+Z14</f>
        <v>1785124876</v>
      </c>
      <c r="AI14" s="29">
        <f>E14+G14-Y14</f>
        <v>195092.03</v>
      </c>
      <c r="AJ14" s="30">
        <f>F14+H14-Z14</f>
        <v>4662087467.6700001</v>
      </c>
      <c r="AK14" s="30"/>
      <c r="AL14" s="30"/>
      <c r="AM14" s="30"/>
      <c r="AN14" s="30"/>
      <c r="AO14" s="30"/>
      <c r="AP14" s="44"/>
    </row>
    <row r="15" spans="1:42" ht="54" x14ac:dyDescent="0.25">
      <c r="A15" s="28">
        <v>4</v>
      </c>
      <c r="B15" s="41" t="s">
        <v>29</v>
      </c>
      <c r="C15" s="31" t="s">
        <v>30</v>
      </c>
      <c r="D15" s="153"/>
      <c r="E15" s="61">
        <v>181136.435</v>
      </c>
      <c r="F15" s="62">
        <f>E15*$AB$22</f>
        <v>4398536051.1049995</v>
      </c>
      <c r="G15" s="64">
        <f>I15+K15+O15+Q15+S15</f>
        <v>0</v>
      </c>
      <c r="H15" s="30">
        <f>J15+L15+P15+R15+T15</f>
        <v>0</v>
      </c>
      <c r="I15" s="30"/>
      <c r="J15" s="30"/>
      <c r="K15" s="30"/>
      <c r="L15" s="30"/>
      <c r="M15" s="30"/>
      <c r="N15" s="30"/>
      <c r="O15" s="30"/>
      <c r="P15" s="30"/>
      <c r="Q15" s="30"/>
      <c r="R15" s="30"/>
      <c r="S15" s="30"/>
      <c r="T15" s="30"/>
      <c r="U15" s="30"/>
      <c r="V15" s="30"/>
      <c r="W15" s="30"/>
      <c r="X15" s="30"/>
      <c r="Y15" s="49">
        <f>4528.41+4528.41</f>
        <v>9056.82</v>
      </c>
      <c r="Z15" s="30">
        <f>114161241+115000000</f>
        <v>229161241</v>
      </c>
      <c r="AA15" s="49">
        <f>1965.4+1786</f>
        <v>3751.4</v>
      </c>
      <c r="AB15" s="30">
        <f>50000000+50000000</f>
        <v>100000000</v>
      </c>
      <c r="AC15" s="30"/>
      <c r="AD15" s="30"/>
      <c r="AE15" s="30">
        <f>393+223</f>
        <v>616</v>
      </c>
      <c r="AF15" s="30">
        <f>10000000+10000000</f>
        <v>20000000</v>
      </c>
      <c r="AG15" s="30">
        <f>Y15+AA15+AC15+AE15</f>
        <v>13424.22</v>
      </c>
      <c r="AH15" s="30">
        <f>AF15+AD15+AB15+Z15</f>
        <v>349161241</v>
      </c>
      <c r="AI15" s="29">
        <f>E15+G15-Y15</f>
        <v>172079.61499999999</v>
      </c>
      <c r="AJ15" s="30">
        <f>F15+H15-Z15</f>
        <v>4169374810.1049995</v>
      </c>
      <c r="AK15" s="30"/>
      <c r="AL15" s="30"/>
      <c r="AM15" s="30"/>
      <c r="AN15" s="30"/>
      <c r="AO15" s="30"/>
      <c r="AP15" s="44"/>
    </row>
    <row r="16" spans="1:42" ht="75" customHeight="1" x14ac:dyDescent="0.25">
      <c r="A16" s="146">
        <v>5</v>
      </c>
      <c r="B16" s="155" t="s">
        <v>27</v>
      </c>
      <c r="C16" s="31" t="s">
        <v>23</v>
      </c>
      <c r="D16" s="153"/>
      <c r="E16" s="49">
        <f t="shared" ref="E16:F16" si="0">E17+E18</f>
        <v>13311641.84</v>
      </c>
      <c r="F16" s="63">
        <f t="shared" si="0"/>
        <v>323246598800.72003</v>
      </c>
      <c r="G16" s="49">
        <f>G17+G18</f>
        <v>1936917.13</v>
      </c>
      <c r="H16" s="49">
        <f>H17+H18</f>
        <v>47050026879.799995</v>
      </c>
      <c r="I16" s="64">
        <f t="shared" ref="I16:T16" si="1">I17+I18</f>
        <v>241480.15</v>
      </c>
      <c r="J16" s="63">
        <f t="shared" si="1"/>
        <v>5863862482.4499998</v>
      </c>
      <c r="K16" s="64">
        <f t="shared" si="1"/>
        <v>105153.44</v>
      </c>
      <c r="L16" s="63">
        <f t="shared" si="1"/>
        <v>2553440983.52</v>
      </c>
      <c r="M16" s="63"/>
      <c r="N16" s="63"/>
      <c r="O16" s="64">
        <f t="shared" si="1"/>
        <v>90693.17</v>
      </c>
      <c r="P16" s="63">
        <f t="shared" si="1"/>
        <v>2202302247.1100001</v>
      </c>
      <c r="Q16" s="64">
        <f t="shared" si="1"/>
        <v>711857.03</v>
      </c>
      <c r="R16" s="63">
        <f t="shared" si="1"/>
        <v>17286024259.490002</v>
      </c>
      <c r="S16" s="64">
        <f t="shared" si="1"/>
        <v>840107.17</v>
      </c>
      <c r="T16" s="63">
        <f t="shared" si="1"/>
        <v>20400322409.110001</v>
      </c>
      <c r="U16" s="64">
        <f t="shared" ref="U16:X16" si="2">U17+U18</f>
        <v>38022.15</v>
      </c>
      <c r="V16" s="63">
        <f t="shared" si="2"/>
        <v>923291868.45000005</v>
      </c>
      <c r="W16" s="30">
        <f t="shared" si="2"/>
        <v>-90395.98</v>
      </c>
      <c r="X16" s="30">
        <f t="shared" si="2"/>
        <v>-2195085582.3400002</v>
      </c>
      <c r="Y16" s="49">
        <f t="shared" ref="Y16:AJ16" si="3">Y17+Y18</f>
        <v>1529348.95</v>
      </c>
      <c r="Z16" s="30">
        <f t="shared" si="3"/>
        <v>38251176009</v>
      </c>
      <c r="AA16" s="49">
        <f t="shared" si="3"/>
        <v>718915.03</v>
      </c>
      <c r="AB16" s="30">
        <f t="shared" si="3"/>
        <v>18182294387</v>
      </c>
      <c r="AC16" s="30">
        <f t="shared" si="3"/>
        <v>18297.349999999999</v>
      </c>
      <c r="AD16" s="30">
        <f t="shared" si="3"/>
        <v>467956403</v>
      </c>
      <c r="AE16" s="30">
        <f t="shared" si="3"/>
        <v>0</v>
      </c>
      <c r="AF16" s="30">
        <f t="shared" si="3"/>
        <v>0</v>
      </c>
      <c r="AG16" s="30">
        <f t="shared" si="3"/>
        <v>2266561.33</v>
      </c>
      <c r="AH16" s="30">
        <f t="shared" si="3"/>
        <v>56901426799</v>
      </c>
      <c r="AI16" s="30">
        <f t="shared" si="3"/>
        <v>13719210.020000003</v>
      </c>
      <c r="AJ16" s="30">
        <f t="shared" si="3"/>
        <v>332045449671.52002</v>
      </c>
      <c r="AK16" s="30"/>
      <c r="AL16" s="30"/>
      <c r="AM16" s="30"/>
      <c r="AN16" s="30"/>
      <c r="AO16" s="30"/>
      <c r="AP16" s="44"/>
    </row>
    <row r="17" spans="1:41" ht="18" x14ac:dyDescent="0.25">
      <c r="A17" s="147"/>
      <c r="B17" s="156"/>
      <c r="C17" s="31" t="s">
        <v>34</v>
      </c>
      <c r="D17" s="153"/>
      <c r="E17" s="61">
        <v>9463070.8000000007</v>
      </c>
      <c r="F17" s="62">
        <f>E17*$AB$22</f>
        <v>229791748236.40002</v>
      </c>
      <c r="G17" s="49">
        <f>I17+K17+O17+Q17+S17+U17+M17+W17</f>
        <v>2026659.64</v>
      </c>
      <c r="H17" s="49">
        <f>J17+L17+P17+R17+T17+V17</f>
        <v>49229244250.129997</v>
      </c>
      <c r="I17" s="29">
        <v>241480.15</v>
      </c>
      <c r="J17" s="30">
        <f>I17*$AB$22</f>
        <v>5863862482.4499998</v>
      </c>
      <c r="K17" s="29">
        <v>105153.44</v>
      </c>
      <c r="L17" s="30">
        <f>K17*$AB$22</f>
        <v>2553440983.52</v>
      </c>
      <c r="M17" s="30"/>
      <c r="N17" s="30"/>
      <c r="O17" s="29">
        <v>90693.17</v>
      </c>
      <c r="P17" s="30">
        <f>O17*$AB$22</f>
        <v>2202302247.1100001</v>
      </c>
      <c r="Q17" s="29">
        <v>711857.03</v>
      </c>
      <c r="R17" s="30">
        <f>Q17*$AB$22</f>
        <v>17286024259.490002</v>
      </c>
      <c r="S17" s="29">
        <v>840107.17</v>
      </c>
      <c r="T17" s="30">
        <f>S17*$AB$22</f>
        <v>20400322409.110001</v>
      </c>
      <c r="U17" s="29">
        <f>76044.3/2</f>
        <v>38022.15</v>
      </c>
      <c r="V17" s="30">
        <f>U17*$AB$22</f>
        <v>923291868.45000005</v>
      </c>
      <c r="W17" s="30">
        <v>-653.47</v>
      </c>
      <c r="X17" s="30">
        <f>W17*$AB$22</f>
        <v>-15868212.01</v>
      </c>
      <c r="Y17" s="71">
        <f>729630+70088.95+729630</f>
        <v>1529348.95</v>
      </c>
      <c r="Z17" s="73">
        <f>18451176009+19800000000</f>
        <v>38251176009</v>
      </c>
      <c r="AA17" s="49">
        <f>85405+97123+102294</f>
        <v>284822</v>
      </c>
      <c r="AB17" s="30">
        <f>2090000000+2550000000+2613000000</f>
        <v>7253000000</v>
      </c>
      <c r="AC17" s="30"/>
      <c r="AD17" s="30"/>
      <c r="AE17" s="30"/>
      <c r="AF17" s="30"/>
      <c r="AG17" s="30">
        <f>Y17+AA17+AC17+AE17</f>
        <v>1814170.95</v>
      </c>
      <c r="AH17" s="30">
        <f>AF17+AD17+AB17+Z17</f>
        <v>45504176009</v>
      </c>
      <c r="AI17" s="29">
        <f>E17+G17-Y17</f>
        <v>9960381.4900000021</v>
      </c>
      <c r="AJ17" s="30">
        <f>F17+H17-Z17</f>
        <v>240769816477.53003</v>
      </c>
      <c r="AK17" s="30"/>
      <c r="AL17" s="30"/>
      <c r="AM17" s="30"/>
      <c r="AN17" s="30"/>
      <c r="AO17" s="30"/>
    </row>
    <row r="18" spans="1:41" ht="36" x14ac:dyDescent="0.25">
      <c r="A18" s="148"/>
      <c r="B18" s="157"/>
      <c r="C18" s="31" t="s">
        <v>35</v>
      </c>
      <c r="D18" s="154"/>
      <c r="E18" s="61">
        <v>3848571.04</v>
      </c>
      <c r="F18" s="62">
        <f>E18*$AB$22</f>
        <v>93454850564.320007</v>
      </c>
      <c r="G18" s="49">
        <f>I18+K18+O18+Q18+S18+U18+M18+W18</f>
        <v>-89742.51</v>
      </c>
      <c r="H18" s="49">
        <f>J18+L18+P18+R18+T18+V18+N18+X18</f>
        <v>-2179217370.3299999</v>
      </c>
      <c r="I18" s="30"/>
      <c r="J18" s="30"/>
      <c r="K18" s="30"/>
      <c r="L18" s="30"/>
      <c r="M18" s="30"/>
      <c r="N18" s="30"/>
      <c r="O18" s="30"/>
      <c r="P18" s="30"/>
      <c r="Q18" s="30"/>
      <c r="R18" s="30"/>
      <c r="S18" s="30"/>
      <c r="T18" s="30"/>
      <c r="U18" s="30"/>
      <c r="V18" s="30"/>
      <c r="W18" s="30">
        <v>-89742.51</v>
      </c>
      <c r="X18" s="30">
        <f>W18*$AB$22</f>
        <v>-2179217370.3299999</v>
      </c>
      <c r="Y18" s="49"/>
      <c r="Z18" s="30"/>
      <c r="AA18" s="49">
        <f>132262.95+6000+166539+129291.08</f>
        <v>434093.03</v>
      </c>
      <c r="AB18" s="30">
        <f>3383294387+4280000000+3266000000</f>
        <v>10929294387</v>
      </c>
      <c r="AC18" s="30">
        <f>9315.75+8981.6</f>
        <v>18297.349999999999</v>
      </c>
      <c r="AD18" s="30">
        <f>227956403+240000000</f>
        <v>467956403</v>
      </c>
      <c r="AE18" s="30"/>
      <c r="AF18" s="30"/>
      <c r="AG18" s="30">
        <f>Y18+AA18+AC18+AE18</f>
        <v>452390.38</v>
      </c>
      <c r="AH18" s="30">
        <f>AF18+AD18+AB18+Z18</f>
        <v>11397250790</v>
      </c>
      <c r="AI18" s="29">
        <f>E18+G18-Y18</f>
        <v>3758828.5300000003</v>
      </c>
      <c r="AJ18" s="30">
        <f>F18+H18-Z18</f>
        <v>91275633193.990005</v>
      </c>
      <c r="AK18" s="30"/>
      <c r="AL18" s="30"/>
      <c r="AM18" s="30"/>
      <c r="AN18" s="30"/>
      <c r="AO18" s="30"/>
    </row>
    <row r="19" spans="1:41" s="21" customFormat="1" ht="17.399999999999999" x14ac:dyDescent="0.25">
      <c r="A19" s="42"/>
      <c r="B19" s="42" t="s">
        <v>22</v>
      </c>
      <c r="C19" s="42"/>
      <c r="D19" s="32"/>
      <c r="E19" s="50">
        <f>SUM(E12:E16)</f>
        <v>15877496.199999999</v>
      </c>
      <c r="F19" s="32"/>
      <c r="G19" s="50">
        <f>SUM(G12:G16)</f>
        <v>2016517.4249999998</v>
      </c>
      <c r="H19" s="32"/>
      <c r="I19" s="32"/>
      <c r="J19" s="32"/>
      <c r="K19" s="32"/>
      <c r="L19" s="32"/>
      <c r="M19" s="32"/>
      <c r="N19" s="32"/>
      <c r="O19" s="32"/>
      <c r="P19" s="32"/>
      <c r="Q19" s="32"/>
      <c r="R19" s="32"/>
      <c r="S19" s="32"/>
      <c r="T19" s="32"/>
      <c r="U19" s="32"/>
      <c r="V19" s="32"/>
      <c r="W19" s="32"/>
      <c r="X19" s="32"/>
      <c r="Y19" s="50">
        <f>SUM(Y12:Y16)</f>
        <v>1787687.97</v>
      </c>
      <c r="Z19" s="32"/>
      <c r="AA19" s="50">
        <f>SUM(AA12:AA16)</f>
        <v>767426.43</v>
      </c>
      <c r="AB19" s="32"/>
      <c r="AC19" s="32">
        <f>SUM(AC12:AC16)</f>
        <v>20315.349999999999</v>
      </c>
      <c r="AD19" s="32"/>
      <c r="AE19" s="32">
        <f>SUM(AE12:AE16)</f>
        <v>1289</v>
      </c>
      <c r="AF19" s="32"/>
      <c r="AG19" s="32">
        <f>SUM(AG12:AG16)</f>
        <v>2576718.75</v>
      </c>
      <c r="AH19" s="32"/>
      <c r="AI19" s="32">
        <f>SUM(AI12:AI16)</f>
        <v>16106325.655000003</v>
      </c>
      <c r="AJ19" s="32"/>
      <c r="AK19" s="32"/>
      <c r="AL19" s="32"/>
      <c r="AM19" s="32"/>
      <c r="AN19" s="32"/>
      <c r="AO19" s="32"/>
    </row>
    <row r="20" spans="1:41" s="21" customFormat="1" ht="17.399999999999999" x14ac:dyDescent="0.25">
      <c r="A20" s="43"/>
      <c r="B20" s="43" t="s">
        <v>31</v>
      </c>
      <c r="C20" s="43"/>
      <c r="D20" s="33"/>
      <c r="E20" s="51"/>
      <c r="F20" s="33">
        <f>SUM(F12:F16)</f>
        <v>389325879394.32001</v>
      </c>
      <c r="G20" s="51"/>
      <c r="H20" s="33">
        <f t="shared" ref="H20:AH20" si="4">SUM(H12:H16)</f>
        <v>48982960843.284996</v>
      </c>
      <c r="I20" s="33"/>
      <c r="J20" s="33"/>
      <c r="K20" s="33"/>
      <c r="L20" s="33"/>
      <c r="M20" s="33"/>
      <c r="N20" s="33"/>
      <c r="O20" s="33"/>
      <c r="P20" s="33"/>
      <c r="Q20" s="33"/>
      <c r="R20" s="33"/>
      <c r="S20" s="33"/>
      <c r="T20" s="33"/>
      <c r="U20" s="33"/>
      <c r="V20" s="33"/>
      <c r="W20" s="33"/>
      <c r="X20" s="33"/>
      <c r="Y20" s="51"/>
      <c r="Z20" s="33">
        <f t="shared" si="4"/>
        <v>47464186767</v>
      </c>
      <c r="AA20" s="51"/>
      <c r="AB20" s="33">
        <f t="shared" si="4"/>
        <v>19441464456</v>
      </c>
      <c r="AC20" s="33"/>
      <c r="AD20" s="33">
        <f t="shared" si="4"/>
        <v>520458444</v>
      </c>
      <c r="AE20" s="33"/>
      <c r="AF20" s="33">
        <f t="shared" si="4"/>
        <v>37834013</v>
      </c>
      <c r="AG20" s="33"/>
      <c r="AH20" s="33">
        <f t="shared" si="4"/>
        <v>67463943680</v>
      </c>
      <c r="AI20" s="33"/>
      <c r="AJ20" s="33">
        <f>SUM(AJ12:AJ16)</f>
        <v>390844653470.60498</v>
      </c>
      <c r="AK20" s="33"/>
      <c r="AL20" s="33"/>
      <c r="AM20" s="33"/>
      <c r="AN20" s="33"/>
      <c r="AO20" s="33"/>
    </row>
    <row r="21" spans="1:41" ht="18" x14ac:dyDescent="0.35">
      <c r="A21" s="23" t="s">
        <v>32</v>
      </c>
      <c r="B21" s="23"/>
      <c r="C21" s="23"/>
      <c r="D21" s="23"/>
      <c r="E21" s="52"/>
      <c r="F21" s="56"/>
      <c r="G21" s="52"/>
      <c r="H21" s="23"/>
      <c r="I21" s="23"/>
      <c r="J21" s="23"/>
      <c r="K21" s="23"/>
      <c r="L21" s="23"/>
      <c r="M21" s="23"/>
      <c r="N21" s="23"/>
      <c r="O21" s="23"/>
      <c r="P21" s="23"/>
      <c r="Q21" s="23"/>
      <c r="R21" s="23"/>
      <c r="S21" s="23"/>
      <c r="T21" s="23"/>
      <c r="U21" s="23"/>
      <c r="V21" s="23"/>
      <c r="W21" s="23"/>
      <c r="X21" s="23"/>
      <c r="Y21" s="52"/>
      <c r="Z21" s="23"/>
      <c r="AA21" s="52"/>
      <c r="AB21" s="23"/>
      <c r="AC21" s="23"/>
      <c r="AD21" s="23"/>
      <c r="AE21" s="23"/>
      <c r="AF21" s="23"/>
      <c r="AG21" s="23"/>
      <c r="AH21" s="23"/>
      <c r="AI21" s="23"/>
      <c r="AJ21" s="23"/>
      <c r="AK21" s="23"/>
      <c r="AL21" s="23"/>
      <c r="AM21" s="23"/>
      <c r="AN21" s="23"/>
      <c r="AO21" s="23"/>
    </row>
    <row r="22" spans="1:41" ht="18" x14ac:dyDescent="0.35">
      <c r="A22" s="23" t="s">
        <v>93</v>
      </c>
      <c r="B22" s="23"/>
      <c r="C22" s="23"/>
      <c r="D22" s="23"/>
      <c r="E22" s="52"/>
      <c r="F22" s="23"/>
      <c r="G22" s="52"/>
      <c r="H22" s="23"/>
      <c r="I22" s="23"/>
      <c r="J22" s="23"/>
      <c r="K22" s="23"/>
      <c r="L22" s="23"/>
      <c r="M22" s="23"/>
      <c r="N22" s="23"/>
      <c r="O22" s="23"/>
      <c r="P22" s="23"/>
      <c r="Q22" s="23"/>
      <c r="R22" s="23"/>
      <c r="S22" s="23"/>
      <c r="T22" s="23"/>
      <c r="U22" s="23"/>
      <c r="V22" s="23"/>
      <c r="W22" s="23"/>
      <c r="X22" s="23"/>
      <c r="Y22" s="52"/>
      <c r="Z22" s="36"/>
      <c r="AA22" s="53"/>
      <c r="AB22" s="77">
        <v>24283</v>
      </c>
      <c r="AC22" s="76" t="s">
        <v>45</v>
      </c>
      <c r="AD22" s="23"/>
      <c r="AE22" s="23"/>
      <c r="AF22" s="23"/>
      <c r="AG22" s="23"/>
      <c r="AH22" s="23"/>
      <c r="AI22" s="23"/>
      <c r="AJ22" s="23"/>
      <c r="AK22" s="23"/>
      <c r="AL22" s="23"/>
      <c r="AM22" s="23"/>
      <c r="AN22" s="23"/>
      <c r="AO22" s="23"/>
    </row>
    <row r="23" spans="1:41" ht="18" x14ac:dyDescent="0.35">
      <c r="A23" s="23" t="s">
        <v>51</v>
      </c>
      <c r="G23" s="70"/>
      <c r="H23" s="23"/>
      <c r="Z23" s="74"/>
      <c r="AA23" s="75"/>
      <c r="AB23" s="74"/>
      <c r="AD23" s="74"/>
      <c r="AH23" s="23"/>
    </row>
    <row r="24" spans="1:41" ht="18" x14ac:dyDescent="0.35">
      <c r="A24" s="184" t="s">
        <v>94</v>
      </c>
      <c r="B24" s="184"/>
      <c r="C24" s="184"/>
      <c r="D24" s="184"/>
      <c r="E24" s="184"/>
      <c r="F24" s="184"/>
      <c r="G24" s="184"/>
      <c r="H24" s="184"/>
      <c r="I24" s="184"/>
      <c r="J24" s="184"/>
      <c r="K24" s="184"/>
      <c r="L24" s="184"/>
      <c r="M24" s="180"/>
      <c r="N24" s="180"/>
      <c r="O24" s="180"/>
      <c r="P24" s="180"/>
      <c r="Q24" s="180"/>
      <c r="R24" s="180"/>
      <c r="S24" s="180"/>
      <c r="T24" s="180"/>
      <c r="U24" s="180"/>
      <c r="V24" s="180"/>
      <c r="W24" s="180"/>
      <c r="X24" s="180"/>
      <c r="Y24" s="181"/>
      <c r="Z24" s="182"/>
      <c r="AA24" s="181"/>
      <c r="AB24" s="182"/>
      <c r="AC24" s="180"/>
      <c r="AD24" s="182"/>
      <c r="AE24" s="180"/>
      <c r="AF24" s="180"/>
      <c r="AG24" s="180"/>
      <c r="AH24" s="183"/>
      <c r="AI24" s="180"/>
      <c r="AJ24" s="180"/>
      <c r="AK24" s="180"/>
      <c r="AL24" s="180"/>
      <c r="AM24" s="180"/>
      <c r="AN24" s="180"/>
      <c r="AO24" s="180"/>
    </row>
    <row r="25" spans="1:41" ht="18" x14ac:dyDescent="0.35">
      <c r="A25" s="23"/>
      <c r="G25" s="70"/>
      <c r="H25" s="23"/>
      <c r="Z25" s="74"/>
      <c r="AB25" s="74"/>
      <c r="AH25" s="34"/>
    </row>
    <row r="26" spans="1:41" ht="18" x14ac:dyDescent="0.35">
      <c r="A26" s="23"/>
      <c r="G26" s="70"/>
      <c r="H26" s="23"/>
      <c r="AH26" s="34"/>
    </row>
    <row r="27" spans="1:41" ht="18" x14ac:dyDescent="0.25">
      <c r="A27" s="67"/>
      <c r="B27" s="68"/>
      <c r="C27" s="68"/>
      <c r="D27" s="68"/>
      <c r="E27" s="69"/>
      <c r="F27" s="68"/>
    </row>
  </sheetData>
  <mergeCells count="31">
    <mergeCell ref="AE10:AF10"/>
    <mergeCell ref="AG10:AH10"/>
    <mergeCell ref="AI9:AJ10"/>
    <mergeCell ref="Q10:R10"/>
    <mergeCell ref="S10:T10"/>
    <mergeCell ref="U10:V10"/>
    <mergeCell ref="AA10:AB10"/>
    <mergeCell ref="W10:X10"/>
    <mergeCell ref="I9:X9"/>
    <mergeCell ref="AK9:AO10"/>
    <mergeCell ref="A4:AO4"/>
    <mergeCell ref="A5:AO5"/>
    <mergeCell ref="A9:A11"/>
    <mergeCell ref="B9:B11"/>
    <mergeCell ref="C9:C11"/>
    <mergeCell ref="D9:D11"/>
    <mergeCell ref="A6:AO6"/>
    <mergeCell ref="G7:H7"/>
    <mergeCell ref="Y9:AH9"/>
    <mergeCell ref="E9:F10"/>
    <mergeCell ref="G9:H10"/>
    <mergeCell ref="Y10:Z10"/>
    <mergeCell ref="AC10:AD10"/>
    <mergeCell ref="K10:L10"/>
    <mergeCell ref="O10:P10"/>
    <mergeCell ref="A16:A18"/>
    <mergeCell ref="C12:C14"/>
    <mergeCell ref="D13:D18"/>
    <mergeCell ref="B16:B18"/>
    <mergeCell ref="I10:J10"/>
    <mergeCell ref="M10:N10"/>
  </mergeCells>
  <printOptions horizontalCentered="1"/>
  <pageMargins left="0.17" right="0.17" top="0.23" bottom="0.22" header="0.17" footer="0.17"/>
  <pageSetup paperSize="9" scale="39"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24"/>
  <sheetViews>
    <sheetView zoomScale="85" zoomScaleNormal="85" zoomScaleSheetLayoutView="85" workbookViewId="0">
      <selection activeCell="A21" sqref="A21:H21"/>
    </sheetView>
  </sheetViews>
  <sheetFormatPr defaultColWidth="9.109375" defaultRowHeight="13.8" x14ac:dyDescent="0.25"/>
  <cols>
    <col min="1" max="1" width="5.33203125" style="1" customWidth="1"/>
    <col min="2" max="2" width="44" style="1" customWidth="1"/>
    <col min="3" max="3" width="18.33203125" style="1" customWidth="1"/>
    <col min="4" max="4" width="24.6640625" style="1" customWidth="1"/>
    <col min="5" max="5" width="19.44140625" style="1" customWidth="1"/>
    <col min="6" max="6" width="24.5546875" style="1" customWidth="1"/>
    <col min="7" max="7" width="15.33203125" style="1" customWidth="1"/>
    <col min="8" max="8" width="15.109375" style="1" customWidth="1"/>
    <col min="9" max="16384" width="9.109375" style="1"/>
  </cols>
  <sheetData>
    <row r="1" spans="1:11" ht="15.6" x14ac:dyDescent="0.25">
      <c r="A1" s="2" t="s">
        <v>43</v>
      </c>
      <c r="H1" s="57" t="s">
        <v>55</v>
      </c>
    </row>
    <row r="2" spans="1:11" x14ac:dyDescent="0.25">
      <c r="A2" s="2" t="s">
        <v>44</v>
      </c>
    </row>
    <row r="5" spans="1:11" s="3" customFormat="1" ht="18" x14ac:dyDescent="0.35">
      <c r="A5" s="174" t="s">
        <v>36</v>
      </c>
      <c r="B5" s="174"/>
      <c r="C5" s="174"/>
      <c r="D5" s="174"/>
      <c r="E5" s="174"/>
      <c r="F5" s="174"/>
      <c r="G5" s="174"/>
      <c r="H5" s="174"/>
    </row>
    <row r="6" spans="1:11" ht="15.6" x14ac:dyDescent="0.25">
      <c r="A6" s="175" t="s">
        <v>52</v>
      </c>
      <c r="B6" s="175"/>
      <c r="C6" s="175"/>
      <c r="D6" s="175"/>
      <c r="E6" s="175"/>
      <c r="F6" s="175"/>
      <c r="G6" s="175"/>
      <c r="H6" s="175"/>
    </row>
    <row r="7" spans="1:11" ht="15.6" x14ac:dyDescent="0.3">
      <c r="A7" s="176" t="s">
        <v>53</v>
      </c>
      <c r="B7" s="176"/>
      <c r="C7" s="176"/>
      <c r="D7" s="176"/>
      <c r="E7" s="176"/>
      <c r="F7" s="176"/>
      <c r="G7" s="176"/>
      <c r="H7" s="176"/>
    </row>
    <row r="9" spans="1:11" s="2" customFormat="1" ht="69.599999999999994" x14ac:dyDescent="0.25">
      <c r="A9" s="8" t="s">
        <v>1</v>
      </c>
      <c r="B9" s="8" t="s">
        <v>16</v>
      </c>
      <c r="C9" s="4" t="s">
        <v>37</v>
      </c>
      <c r="D9" s="4" t="s">
        <v>6</v>
      </c>
      <c r="E9" s="4" t="s">
        <v>38</v>
      </c>
      <c r="F9" s="4" t="s">
        <v>14</v>
      </c>
      <c r="G9" s="4" t="s">
        <v>39</v>
      </c>
      <c r="H9" s="4" t="s">
        <v>17</v>
      </c>
    </row>
    <row r="10" spans="1:11" s="2" customFormat="1" ht="17.399999999999999" x14ac:dyDescent="0.25">
      <c r="A10" s="9" t="s">
        <v>18</v>
      </c>
      <c r="B10" s="10" t="s">
        <v>30</v>
      </c>
      <c r="C10" s="78">
        <f>C11</f>
        <v>181136.435</v>
      </c>
      <c r="D10" s="19">
        <f>D11</f>
        <v>4398536051.1049995</v>
      </c>
      <c r="E10" s="78">
        <f t="shared" ref="E10:F10" si="0">E11</f>
        <v>172079.61499999999</v>
      </c>
      <c r="F10" s="19">
        <f t="shared" si="0"/>
        <v>4169374810.1049995</v>
      </c>
      <c r="G10" s="10"/>
      <c r="H10" s="10"/>
      <c r="I10" s="55"/>
      <c r="J10" s="55"/>
      <c r="K10" s="55"/>
    </row>
    <row r="11" spans="1:11" ht="36" x14ac:dyDescent="0.25">
      <c r="A11" s="6">
        <v>1</v>
      </c>
      <c r="B11" s="11" t="s">
        <v>29</v>
      </c>
      <c r="C11" s="17">
        <f>'1.01'!E15</f>
        <v>181136.435</v>
      </c>
      <c r="D11" s="5">
        <f>'1.01'!F15</f>
        <v>4398536051.1049995</v>
      </c>
      <c r="E11" s="17">
        <f>'1.01'!AI15</f>
        <v>172079.61499999999</v>
      </c>
      <c r="F11" s="5">
        <f>'1.01'!AJ15</f>
        <v>4169374810.1049995</v>
      </c>
      <c r="G11" s="12"/>
      <c r="H11" s="12"/>
    </row>
    <row r="12" spans="1:11" s="2" customFormat="1" ht="18" x14ac:dyDescent="0.25">
      <c r="A12" s="13" t="s">
        <v>19</v>
      </c>
      <c r="B12" s="14" t="s">
        <v>23</v>
      </c>
      <c r="C12" s="18">
        <f>C13+C14+C15+C16</f>
        <v>15696359.765000001</v>
      </c>
      <c r="D12" s="18">
        <f t="shared" ref="D12:F12" si="1">D13+D14+D15+D16</f>
        <v>384927343343.21503</v>
      </c>
      <c r="E12" s="18">
        <f t="shared" si="1"/>
        <v>15934246.040000003</v>
      </c>
      <c r="F12" s="18">
        <f t="shared" si="1"/>
        <v>386675278660.5</v>
      </c>
      <c r="G12" s="12"/>
      <c r="H12" s="12"/>
    </row>
    <row r="13" spans="1:11" s="2" customFormat="1" ht="36" x14ac:dyDescent="0.25">
      <c r="A13" s="6">
        <v>1</v>
      </c>
      <c r="B13" s="7" t="s">
        <v>25</v>
      </c>
      <c r="C13" s="12"/>
      <c r="D13" s="5">
        <f>'1.01'!F12</f>
        <v>3772639169.7199993</v>
      </c>
      <c r="E13" s="17"/>
      <c r="F13" s="5">
        <f>'1.01'!AJ12</f>
        <v>2934274909.7199993</v>
      </c>
      <c r="G13" s="12"/>
      <c r="H13" s="12"/>
    </row>
    <row r="14" spans="1:11" s="2" customFormat="1" ht="18" x14ac:dyDescent="0.25">
      <c r="A14" s="6">
        <v>2</v>
      </c>
      <c r="B14" s="40" t="s">
        <v>24</v>
      </c>
      <c r="C14" s="17">
        <f>'1.01'!E13</f>
        <v>2205383.73</v>
      </c>
      <c r="D14" s="5">
        <f>'1.01'!F13</f>
        <v>53553333115.589996</v>
      </c>
      <c r="E14" s="17">
        <f>'1.01'!AI13</f>
        <v>2019943.99</v>
      </c>
      <c r="F14" s="5">
        <f>'1.01'!AJ13</f>
        <v>47033466611.589996</v>
      </c>
      <c r="G14" s="12"/>
      <c r="H14" s="12"/>
    </row>
    <row r="15" spans="1:11" s="2" customFormat="1" ht="36" x14ac:dyDescent="0.25">
      <c r="A15" s="6">
        <v>3</v>
      </c>
      <c r="B15" s="40" t="s">
        <v>28</v>
      </c>
      <c r="C15" s="17">
        <f>'1.01'!E14</f>
        <v>179334.19500000001</v>
      </c>
      <c r="D15" s="5">
        <f>'1.01'!F14</f>
        <v>4354772257.1850004</v>
      </c>
      <c r="E15" s="17">
        <f>'1.01'!AI14</f>
        <v>195092.03</v>
      </c>
      <c r="F15" s="5">
        <f>'1.01'!AJ14</f>
        <v>4662087467.6700001</v>
      </c>
      <c r="G15" s="12"/>
      <c r="H15" s="12"/>
    </row>
    <row r="16" spans="1:11" s="2" customFormat="1" ht="54" x14ac:dyDescent="0.25">
      <c r="A16" s="6">
        <v>4</v>
      </c>
      <c r="B16" s="11" t="s">
        <v>27</v>
      </c>
      <c r="C16" s="17">
        <f>'1.01'!E16</f>
        <v>13311641.84</v>
      </c>
      <c r="D16" s="5">
        <f>'1.01'!F16</f>
        <v>323246598800.72003</v>
      </c>
      <c r="E16" s="17">
        <f>'1.01'!AI16</f>
        <v>13719210.020000003</v>
      </c>
      <c r="F16" s="5">
        <f>'1.01'!AJ16</f>
        <v>332045449671.52002</v>
      </c>
      <c r="G16" s="12"/>
      <c r="H16" s="12"/>
    </row>
    <row r="17" spans="1:35" s="2" customFormat="1" ht="17.399999999999999" x14ac:dyDescent="0.25">
      <c r="A17" s="15"/>
      <c r="B17" s="16" t="s">
        <v>20</v>
      </c>
      <c r="C17" s="15"/>
      <c r="D17" s="39">
        <f>D12+D10</f>
        <v>389325879394.32001</v>
      </c>
      <c r="E17" s="15"/>
      <c r="F17" s="39">
        <f>F12+F10</f>
        <v>390844653470.60498</v>
      </c>
      <c r="G17" s="15"/>
      <c r="H17" s="15"/>
    </row>
    <row r="18" spans="1:35" s="2" customFormat="1" ht="17.399999999999999" hidden="1" x14ac:dyDescent="0.25">
      <c r="A18" s="37"/>
      <c r="B18" s="38"/>
      <c r="C18" s="37"/>
      <c r="D18" s="37"/>
      <c r="E18" s="37"/>
      <c r="F18" s="37"/>
      <c r="G18" s="37"/>
      <c r="H18" s="37"/>
    </row>
    <row r="20" spans="1:35" s="20" customFormat="1" ht="18" x14ac:dyDescent="0.35">
      <c r="A20" s="23" t="s">
        <v>32</v>
      </c>
      <c r="B20" s="23"/>
      <c r="C20" s="23"/>
      <c r="D20" s="23"/>
      <c r="E20" s="52"/>
      <c r="F20" s="56"/>
      <c r="G20" s="52"/>
      <c r="H20" s="23"/>
      <c r="I20" s="23"/>
      <c r="J20" s="23"/>
      <c r="K20" s="23"/>
      <c r="L20" s="23"/>
      <c r="M20" s="23"/>
      <c r="N20" s="23"/>
      <c r="O20" s="23"/>
      <c r="P20" s="23"/>
      <c r="Q20" s="23"/>
      <c r="R20" s="23"/>
      <c r="S20" s="52"/>
      <c r="T20" s="23"/>
      <c r="U20" s="52"/>
      <c r="V20" s="23"/>
      <c r="W20" s="23"/>
      <c r="X20" s="23"/>
      <c r="Y20" s="23"/>
      <c r="Z20" s="23"/>
      <c r="AA20" s="23"/>
      <c r="AB20" s="23"/>
      <c r="AC20" s="23"/>
      <c r="AD20" s="23"/>
      <c r="AE20" s="23"/>
      <c r="AF20" s="23"/>
      <c r="AG20" s="23"/>
      <c r="AH20" s="23"/>
      <c r="AI20" s="23"/>
    </row>
    <row r="21" spans="1:35" s="20" customFormat="1" ht="36.75" customHeight="1" x14ac:dyDescent="0.35">
      <c r="A21" s="177" t="s">
        <v>92</v>
      </c>
      <c r="B21" s="177"/>
      <c r="C21" s="177"/>
      <c r="D21" s="177"/>
      <c r="E21" s="177"/>
      <c r="F21" s="177"/>
      <c r="G21" s="177"/>
      <c r="H21" s="177"/>
      <c r="I21" s="23"/>
      <c r="J21" s="23"/>
      <c r="K21" s="23"/>
      <c r="L21" s="23"/>
      <c r="M21" s="23"/>
      <c r="N21" s="23"/>
      <c r="O21" s="23"/>
      <c r="P21" s="23"/>
      <c r="Q21" s="23"/>
      <c r="R21" s="23"/>
      <c r="S21" s="52"/>
      <c r="T21" s="36"/>
      <c r="U21" s="53"/>
      <c r="V21" s="77"/>
      <c r="W21" s="76"/>
      <c r="X21" s="23"/>
      <c r="Y21" s="23"/>
      <c r="Z21" s="23"/>
      <c r="AA21" s="23"/>
      <c r="AB21" s="23"/>
      <c r="AC21" s="23"/>
      <c r="AD21" s="23"/>
      <c r="AE21" s="23"/>
      <c r="AF21" s="23"/>
      <c r="AG21" s="23"/>
      <c r="AH21" s="23"/>
      <c r="AI21" s="23"/>
    </row>
    <row r="22" spans="1:35" s="20" customFormat="1" ht="18" x14ac:dyDescent="0.35">
      <c r="A22" s="23" t="s">
        <v>51</v>
      </c>
      <c r="E22" s="45"/>
      <c r="G22" s="70"/>
      <c r="H22" s="23"/>
      <c r="S22" s="45"/>
      <c r="T22" s="74"/>
      <c r="U22" s="75"/>
      <c r="V22" s="74"/>
      <c r="X22" s="74"/>
      <c r="AB22" s="23"/>
    </row>
    <row r="23" spans="1:35" s="20" customFormat="1" ht="18" x14ac:dyDescent="0.35">
      <c r="A23" s="23"/>
      <c r="B23" s="23"/>
      <c r="C23" s="23"/>
      <c r="D23" s="23"/>
      <c r="E23" s="23"/>
      <c r="F23" s="23"/>
      <c r="G23" s="23"/>
      <c r="H23" s="23"/>
      <c r="I23" s="23"/>
      <c r="J23" s="36"/>
      <c r="K23" s="23"/>
      <c r="L23" s="23"/>
      <c r="M23" s="23"/>
      <c r="N23" s="23"/>
      <c r="O23" s="23"/>
      <c r="P23" s="23"/>
      <c r="Q23" s="23"/>
      <c r="R23" s="23"/>
      <c r="S23" s="23"/>
      <c r="T23" s="23"/>
    </row>
    <row r="24" spans="1:35" s="20" customFormat="1" ht="40.5" customHeight="1" x14ac:dyDescent="0.35">
      <c r="A24" s="177"/>
      <c r="B24" s="178"/>
      <c r="C24" s="178"/>
      <c r="D24" s="178"/>
      <c r="E24" s="178"/>
      <c r="F24" s="178"/>
      <c r="G24" s="178"/>
      <c r="H24" s="178"/>
      <c r="I24" s="23"/>
      <c r="J24" s="23"/>
      <c r="K24" s="23"/>
      <c r="L24" s="23"/>
      <c r="M24" s="23"/>
      <c r="N24" s="23"/>
      <c r="O24" s="23"/>
      <c r="P24" s="23"/>
      <c r="Q24" s="23"/>
      <c r="R24" s="23"/>
      <c r="S24" s="23"/>
      <c r="T24" s="23"/>
    </row>
  </sheetData>
  <mergeCells count="5">
    <mergeCell ref="A5:H5"/>
    <mergeCell ref="A6:H6"/>
    <mergeCell ref="A7:H7"/>
    <mergeCell ref="A24:H24"/>
    <mergeCell ref="A21:H21"/>
  </mergeCells>
  <pageMargins left="0.17" right="0.17" top="0.25" bottom="0.25" header="0.17" footer="0.17"/>
  <pageSetup paperSize="9" scale="8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PL1a</vt:lpstr>
      <vt:lpstr>PLII</vt:lpstr>
      <vt:lpstr>1.01</vt:lpstr>
      <vt:lpstr>1.02</vt:lpstr>
      <vt:lpstr>'1.01'!Print_Area</vt:lpstr>
      <vt:lpstr>'1.02'!Print_Area</vt:lpstr>
      <vt:lpstr>PL1a!Print_Area</vt:lpstr>
      <vt:lpstr>PLII!Print_Area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dvknhat</dc:creator>
  <cp:lastModifiedBy>duong thi hong loan</cp:lastModifiedBy>
  <cp:lastPrinted>2025-03-03T02:44:57Z</cp:lastPrinted>
  <dcterms:created xsi:type="dcterms:W3CDTF">2021-03-12T08:55:29Z</dcterms:created>
  <dcterms:modified xsi:type="dcterms:W3CDTF">2025-03-05T02:05:06Z</dcterms:modified>
</cp:coreProperties>
</file>